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AWP" sheetId="1" r:id="rId1"/>
  </sheets>
  <definedNames>
    <definedName name="_xlnm.Print_Titles" localSheetId="0">'AWP'!$3:$5</definedName>
  </definedNames>
  <calcPr fullCalcOnLoad="1"/>
</workbook>
</file>

<file path=xl/sharedStrings.xml><?xml version="1.0" encoding="utf-8"?>
<sst xmlns="http://schemas.openxmlformats.org/spreadsheetml/2006/main" count="430" uniqueCount="213">
  <si>
    <t>Planned Activities</t>
  </si>
  <si>
    <t>Q1</t>
  </si>
  <si>
    <t>Q2</t>
  </si>
  <si>
    <t>Time frame</t>
  </si>
  <si>
    <t>X</t>
  </si>
  <si>
    <t>Responsible Party</t>
  </si>
  <si>
    <t>SDC</t>
  </si>
  <si>
    <t>2009-10</t>
  </si>
  <si>
    <t>J-M</t>
  </si>
  <si>
    <t>A-J</t>
  </si>
  <si>
    <t>Implementing Partners</t>
  </si>
  <si>
    <t>Budget Description</t>
  </si>
  <si>
    <t xml:space="preserve">Grants </t>
  </si>
  <si>
    <t>Travel,
Misc.</t>
  </si>
  <si>
    <t>Sub-total</t>
  </si>
  <si>
    <t>UNCDF</t>
  </si>
  <si>
    <t xml:space="preserve">            DLG(MOHCA)     LDD(GNHCS)</t>
  </si>
  <si>
    <t>Travel,
training,
workshop,
TA(local, intl)
Misc</t>
  </si>
  <si>
    <t>DLG, MoHCA</t>
  </si>
  <si>
    <t>Establish inter-operability framework (eGIF)</t>
  </si>
  <si>
    <t>Conduct awareness raising on set up of OSS and services availed from there</t>
  </si>
  <si>
    <t>LoD</t>
  </si>
  <si>
    <t>Equipments</t>
  </si>
  <si>
    <t>Institutional support to DLG(website, ePABX system, LAN)</t>
  </si>
  <si>
    <t>TA(int &amp; local), training, travel, misc</t>
  </si>
  <si>
    <t xml:space="preserve">Capital annual block grants for 205 Gewogs </t>
  </si>
  <si>
    <t>LDD, GNHCS</t>
  </si>
  <si>
    <t>Training, travel and Misc.</t>
  </si>
  <si>
    <t>DLG,MOHCA</t>
  </si>
  <si>
    <t>Exchange visit to Tanzania (MOF,DLG,GNHC,LGs)                                 on best practices in national discretionary capital grant systems, fiscal reforms and resource allocation formulas.</t>
  </si>
  <si>
    <t>Support field visits for project staff to participate in-joint missions, evaluations, work plan meetings, monitoring &amp;evaluation  including advocacy initiatives</t>
  </si>
  <si>
    <t>Monitoring &amp; Evaluation and Annual Technical Review mission support</t>
  </si>
  <si>
    <t xml:space="preserve">Monitoring &amp; Evaluation and Annual Technical Review mission support </t>
  </si>
  <si>
    <t>Project Assurance - Monitoring, Evaluation missions and participation in advocacy events</t>
  </si>
  <si>
    <t xml:space="preserve"> LDD,GNHCS</t>
  </si>
  <si>
    <t>DLG , MoHCA</t>
  </si>
  <si>
    <t>TA local, workshops/ meetings</t>
  </si>
  <si>
    <t>Travel,
training,
workshop,
TA local
Misc</t>
  </si>
  <si>
    <t>TA Local and Meetings</t>
  </si>
  <si>
    <t>TA Local</t>
  </si>
  <si>
    <t xml:space="preserve">Ex- country travel, meeting/ workshops,
</t>
  </si>
  <si>
    <t>Develop and formulate inclusive mechanisms  and guidelines for the LG  Capacity Development grant</t>
  </si>
  <si>
    <t>Travel,Training/ workshop</t>
  </si>
  <si>
    <t>TA local,  
meeting
workshop</t>
  </si>
  <si>
    <t>TA local,
meeting,
workshop</t>
  </si>
  <si>
    <t xml:space="preserve">Ex- country travel, meeting/  workshops,
</t>
  </si>
  <si>
    <t>On site reviews</t>
  </si>
  <si>
    <t>UNDP/NIM</t>
  </si>
  <si>
    <t>UNCDF/NIM</t>
  </si>
  <si>
    <t>Project Management support</t>
  </si>
  <si>
    <t>Contractual services of Assistant Project Manager(18th months)</t>
  </si>
  <si>
    <t>Pay and Allowances</t>
  </si>
  <si>
    <t>G2C</t>
  </si>
  <si>
    <t>DIT/G2C</t>
  </si>
  <si>
    <t>Online system developed for atleast 10% of most commonly availed services developed and a server purchased</t>
  </si>
  <si>
    <t>Purchase of server and redundancy to host on-line services</t>
  </si>
  <si>
    <t xml:space="preserve">Study visit to Singapore </t>
  </si>
  <si>
    <t>DIT/G2C/DLG</t>
  </si>
  <si>
    <t xml:space="preserve">Equipment support for 25 OSS (computers, photocpier, fax, telephone, and other accessories) </t>
  </si>
  <si>
    <t>Training/meetings for Local Government Officials on One-Stop Shops</t>
  </si>
  <si>
    <t>Produce audio-visaul programmes for broadcast on OSS at the CCs and national media outlets</t>
  </si>
  <si>
    <t>Support for capacity development in fiscal decentralization</t>
  </si>
  <si>
    <t>Conduct Training of Trainers (ToT) for Gewog Administrative Officers (men and women) on  planning &amp; prioritization using new participatory tool (VIPP)</t>
  </si>
  <si>
    <t xml:space="preserve">Formulate inclusive service rules for elected local government officials (men &amp; women) based on the LG Act 2009  </t>
  </si>
  <si>
    <t>x</t>
  </si>
  <si>
    <t>DLG (MOHCA)</t>
  </si>
  <si>
    <t>Development of scale up strategy for MDGs</t>
  </si>
  <si>
    <t>UNDP/NEX</t>
  </si>
  <si>
    <t>Support the pilot performance based grants CCA/LoCAL  for LGs</t>
  </si>
  <si>
    <t xml:space="preserve">Int'l TA
</t>
  </si>
  <si>
    <r>
      <t xml:space="preserve">1.0. Effective and transparent financing mechanism for Local government service delivery                                                                                                                              
</t>
    </r>
    <r>
      <rPr>
        <b/>
        <sz val="10"/>
        <rFont val="Book Antiqua"/>
        <family val="1"/>
      </rPr>
      <t>LGSP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Indicators</t>
    </r>
    <r>
      <rPr>
        <sz val="10"/>
        <rFont val="Book Antiqua"/>
        <family val="1"/>
      </rPr>
      <t xml:space="preserve">; 
• % of Local governments receive and report capital budgets on time and schedule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>80</t>
    </r>
    <r>
      <rPr>
        <b/>
        <sz val="10"/>
        <rFont val="Book Antiqua"/>
        <family val="1"/>
      </rPr>
      <t xml:space="preserve"> </t>
    </r>
    <r>
      <rPr>
        <sz val="10"/>
        <rFont val="Book Antiqua"/>
        <family val="1"/>
      </rPr>
      <t xml:space="preserve">%   </t>
    </r>
    <r>
      <rPr>
        <b/>
        <sz val="10"/>
        <rFont val="Book Antiqua"/>
        <family val="1"/>
      </rPr>
      <t xml:space="preserve"> Baseline: </t>
    </r>
    <r>
      <rPr>
        <sz val="10"/>
        <rFont val="Book Antiqua"/>
        <family val="1"/>
      </rPr>
      <t xml:space="preserve">NA                       
</t>
    </r>
    <r>
      <rPr>
        <b/>
        <sz val="10"/>
        <rFont val="Book Antiqua"/>
        <family val="1"/>
      </rPr>
      <t>LGSP Indicator:</t>
    </r>
    <r>
      <rPr>
        <sz val="10"/>
        <rFont val="Book Antiqua"/>
        <family val="1"/>
      </rPr>
      <t xml:space="preserve">
• % of Local Governments submitting timely reports on the use of the Grants 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80 %    </t>
    </r>
    <r>
      <rPr>
        <b/>
        <sz val="10"/>
        <rFont val="Book Antiqua"/>
        <family val="1"/>
      </rPr>
      <t>Baseline:</t>
    </r>
    <r>
      <rPr>
        <sz val="10"/>
        <rFont val="Book Antiqua"/>
        <family val="1"/>
      </rPr>
      <t xml:space="preserve"> NA
</t>
    </r>
    <r>
      <rPr>
        <b/>
        <sz val="10"/>
        <rFont val="Book Antiqua"/>
        <family val="1"/>
      </rPr>
      <t>LGSP Indicator::</t>
    </r>
    <r>
      <rPr>
        <sz val="10"/>
        <rFont val="Book Antiqua"/>
        <family val="1"/>
      </rPr>
      <t xml:space="preserve">
• % of LGs  functionaries (elected/staff) men and woment trained on the use of the Annual Grants   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80 %    </t>
    </r>
    <r>
      <rPr>
        <b/>
        <sz val="10"/>
        <rFont val="Book Antiqua"/>
        <family val="1"/>
      </rPr>
      <t xml:space="preserve"> Baseline: </t>
    </r>
    <r>
      <rPr>
        <sz val="10"/>
        <rFont val="Book Antiqua"/>
        <family val="1"/>
      </rPr>
      <t xml:space="preserve">0
</t>
    </r>
    <r>
      <rPr>
        <b/>
        <sz val="10"/>
        <rFont val="Book Antiqua"/>
        <family val="1"/>
      </rPr>
      <t>LGSP Indicator::</t>
    </r>
    <r>
      <rPr>
        <sz val="10"/>
        <rFont val="Book Antiqua"/>
        <family val="1"/>
      </rPr>
      <t xml:space="preserve">
• Performance based block grants piloted in 2 Dzongkhags &amp; lessons learned documented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Pilots completed and lessons for upscaling completed by 2013 </t>
    </r>
    <r>
      <rPr>
        <b/>
        <sz val="10"/>
        <rFont val="Book Antiqua"/>
        <family val="1"/>
      </rPr>
      <t>Baseline:</t>
    </r>
    <r>
      <rPr>
        <sz val="10"/>
        <rFont val="Book Antiqua"/>
        <family val="1"/>
      </rPr>
      <t xml:space="preserve"> 0</t>
    </r>
    <r>
      <rPr>
        <b/>
        <sz val="10"/>
        <rFont val="Book Antiqua"/>
        <family val="1"/>
      </rPr>
      <t xml:space="preserve">
                      </t>
    </r>
    <r>
      <rPr>
        <sz val="10"/>
        <rFont val="Book Antiqua"/>
        <family val="1"/>
      </rPr>
      <t xml:space="preserve">            </t>
    </r>
  </si>
  <si>
    <r>
      <t xml:space="preserve"> 2.0 Inclusive, efficient and accountable public expenditure management(PEM) &amp; planning procedures/tools for LGs in place &amp; well functioning       
</t>
    </r>
    <r>
      <rPr>
        <b/>
        <sz val="10"/>
        <rFont val="Book Antiqua"/>
        <family val="1"/>
      </rPr>
      <t xml:space="preserve">LGSP Indicator; </t>
    </r>
    <r>
      <rPr>
        <sz val="10"/>
        <rFont val="Book Antiqua"/>
        <family val="1"/>
      </rPr>
      <t xml:space="preserve">                            
No of functional planning/budgeting tools for local governments developed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Local Development Planning Manual  published and LGs trained on its use; Annual Capital Grant guidelines published and LGs sensitized     </t>
    </r>
    <r>
      <rPr>
        <b/>
        <sz val="10"/>
        <rFont val="Book Antiqua"/>
        <family val="1"/>
      </rPr>
      <t xml:space="preserve">Baseline: </t>
    </r>
    <r>
      <rPr>
        <sz val="10"/>
        <rFont val="Book Antiqua"/>
        <family val="1"/>
      </rPr>
      <t xml:space="preserve">0              
</t>
    </r>
    <r>
      <rPr>
        <b/>
        <sz val="10"/>
        <rFont val="Book Antiqua"/>
        <family val="1"/>
      </rPr>
      <t>LGSP Indicator:;</t>
    </r>
    <r>
      <rPr>
        <sz val="10"/>
        <rFont val="Book Antiqua"/>
        <family val="1"/>
      </rPr>
      <t xml:space="preserve"> 
RBM approach used as fucntional planning tool  within the LDMP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LDMP training for 205 gewogs </t>
    </r>
    <r>
      <rPr>
        <b/>
        <sz val="10"/>
        <rFont val="Book Antiqua"/>
        <family val="1"/>
      </rPr>
      <t xml:space="preserve">Baseline: </t>
    </r>
    <r>
      <rPr>
        <sz val="10"/>
        <rFont val="Book Antiqua"/>
        <family val="1"/>
      </rPr>
      <t xml:space="preserve">RBM completed in 20 districts
                     .
</t>
    </r>
    <r>
      <rPr>
        <b/>
        <sz val="10"/>
        <rFont val="Book Antiqua"/>
        <family val="1"/>
      </rPr>
      <t>LGSP Indicator:</t>
    </r>
    <r>
      <rPr>
        <sz val="10"/>
        <rFont val="Book Antiqua"/>
        <family val="1"/>
      </rPr>
      <t xml:space="preserve">
% of LGs by Dzo/Gewogs trained to use the community protocol and templates    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 40%  ( sex disaggregated data)   </t>
    </r>
    <r>
      <rPr>
        <b/>
        <sz val="10"/>
        <rFont val="Book Antiqua"/>
        <family val="1"/>
      </rPr>
      <t>Baseline:</t>
    </r>
    <r>
      <rPr>
        <sz val="10"/>
        <rFont val="Book Antiqua"/>
        <family val="1"/>
      </rPr>
      <t xml:space="preserve">   0                                                                                
</t>
    </r>
  </si>
  <si>
    <r>
      <t xml:space="preserve">3.0 Effective national support/training mechanism for local government personnel           &amp; elected members in place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Book Antiqua"/>
        <family val="1"/>
      </rPr>
      <t>LGSP Indicator:</t>
    </r>
    <r>
      <rPr>
        <sz val="10"/>
        <rFont val="Book Antiqua"/>
        <family val="1"/>
      </rPr>
      <t xml:space="preserve">
• % of LG functionaries (elected&amp;public -male/female) trained to apply  RBM skills for local development planning, budgeting and results. 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70% ( sex disaggregated data) </t>
    </r>
    <r>
      <rPr>
        <b/>
        <sz val="10"/>
        <rFont val="Book Antiqua"/>
        <family val="1"/>
      </rPr>
      <t>Baseline</t>
    </r>
    <r>
      <rPr>
        <sz val="10"/>
        <rFont val="Book Antiqua"/>
        <family val="1"/>
      </rPr>
      <t xml:space="preserve">: 20 district  sector officials trained in RBM
</t>
    </r>
    <r>
      <rPr>
        <b/>
        <sz val="10"/>
        <rFont val="Book Antiqua"/>
        <family val="1"/>
      </rPr>
      <t xml:space="preserve">LGSP Indicator:
</t>
    </r>
    <r>
      <rPr>
        <sz val="10"/>
        <rFont val="Book Antiqua"/>
        <family val="1"/>
      </rPr>
      <t xml:space="preserve">• % of LGs functionaries (elected/public -male/female) trained in NMES guidelines &amp; PLaMS for monitoring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70% ( sex disaggregated data) </t>
    </r>
    <r>
      <rPr>
        <b/>
        <sz val="10"/>
        <rFont val="Book Antiqua"/>
        <family val="1"/>
      </rPr>
      <t xml:space="preserve">Baseline: </t>
    </r>
    <r>
      <rPr>
        <sz val="10"/>
        <rFont val="Book Antiqua"/>
        <family val="1"/>
      </rPr>
      <t xml:space="preserve">0
</t>
    </r>
    <r>
      <rPr>
        <b/>
        <sz val="10"/>
        <rFont val="Book Antiqua"/>
        <family val="1"/>
      </rPr>
      <t>LGSP Indicator:</t>
    </r>
    <r>
      <rPr>
        <sz val="10"/>
        <rFont val="Book Antiqua"/>
        <family val="1"/>
      </rPr>
      <t xml:space="preserve">
• No of LG functionaries trained as skilled TOTs (men and women) by Dzo/Gewogs for providing ongoing training and coaching to LGs
</t>
    </r>
    <r>
      <rPr>
        <b/>
        <sz val="10"/>
        <rFont val="Book Antiqua"/>
        <family val="1"/>
      </rPr>
      <t>Target:</t>
    </r>
    <r>
      <rPr>
        <sz val="10"/>
        <rFont val="Book Antiqua"/>
        <family val="1"/>
      </rPr>
      <t xml:space="preserve">100 % ( sex disaggregated data) </t>
    </r>
    <r>
      <rPr>
        <b/>
        <sz val="10"/>
        <rFont val="Book Antiqua"/>
        <family val="1"/>
      </rPr>
      <t xml:space="preserve">Baseline: </t>
    </r>
    <r>
      <rPr>
        <sz val="10"/>
        <rFont val="Book Antiqua"/>
        <family val="1"/>
      </rPr>
      <t xml:space="preserve">Existing 58% GAOs trained
</t>
    </r>
    <r>
      <rPr>
        <b/>
        <sz val="10"/>
        <rFont val="Book Antiqua"/>
        <family val="1"/>
      </rPr>
      <t xml:space="preserve">LGSP Indicator;  
</t>
    </r>
    <r>
      <rPr>
        <sz val="10"/>
        <rFont val="Book Antiqua"/>
        <family val="1"/>
      </rPr>
      <t xml:space="preserve">Basic functional equipments supplied to LGs
</t>
    </r>
    <r>
      <rPr>
        <b/>
        <sz val="10"/>
        <rFont val="Book Antiqua"/>
        <family val="1"/>
      </rPr>
      <t xml:space="preserve">Target: </t>
    </r>
    <r>
      <rPr>
        <sz val="10"/>
        <rFont val="Book Antiqua"/>
        <family val="1"/>
      </rPr>
      <t xml:space="preserve">100% ( sex disaggregated data)  </t>
    </r>
    <r>
      <rPr>
        <b/>
        <sz val="10"/>
        <rFont val="Book Antiqua"/>
        <family val="1"/>
      </rPr>
      <t>Baseline:</t>
    </r>
    <r>
      <rPr>
        <sz val="10"/>
        <rFont val="Book Antiqua"/>
        <family val="1"/>
      </rPr>
      <t xml:space="preserve"> 70% districts supplied
</t>
    </r>
  </si>
  <si>
    <t xml:space="preserve">Facilities and Administration GMS (7%) </t>
  </si>
  <si>
    <t>Monitoring &amp; Evaluation  and participation during MTR, ARM, Quartely meeting</t>
  </si>
  <si>
    <t>J-S</t>
  </si>
  <si>
    <t>O-D</t>
  </si>
  <si>
    <t>Total</t>
  </si>
  <si>
    <t>Source of Funds in Nu.</t>
  </si>
  <si>
    <t>2011/12</t>
  </si>
  <si>
    <t>2010/11</t>
  </si>
  <si>
    <t xml:space="preserve"> Development of a Voice-of-customer portal (grievance portal) to monitor citizens’ feedback and satisfaction</t>
  </si>
  <si>
    <t xml:space="preserve">Development of an integrated citizen-oriented G2C Common web portal for all automated G2C services
</t>
  </si>
  <si>
    <t xml:space="preserve">DLG/G2C
</t>
  </si>
  <si>
    <t xml:space="preserve">Local TA
</t>
  </si>
  <si>
    <t xml:space="preserve">Training of Trainers (ToT) for service providers of various government agencies on the e-Service applications
</t>
  </si>
  <si>
    <t xml:space="preserve">G2C/DLG
</t>
  </si>
  <si>
    <t xml:space="preserve">Training and workshop
</t>
  </si>
  <si>
    <t xml:space="preserve">
Train 100 district officials from 20 districts (groups of 25 - 30) as district and gewog level service providers
</t>
  </si>
  <si>
    <t xml:space="preserve">Project Management and service delivery course for Project officials (6 members) for effective management of the project.
</t>
  </si>
  <si>
    <t xml:space="preserve">Printing publication
</t>
  </si>
  <si>
    <t>Development of outreach materials</t>
  </si>
  <si>
    <t xml:space="preserve"> Printing of materials in Dzongkha and English
</t>
  </si>
  <si>
    <t>G2C/DLG</t>
  </si>
  <si>
    <t>UNDP RR/OR</t>
  </si>
  <si>
    <t>GRAND TOTAL</t>
  </si>
  <si>
    <t>UNDP/RR US$</t>
  </si>
  <si>
    <t xml:space="preserve">UNDP/OR US$ </t>
  </si>
  <si>
    <t>UNCDF /RR US$</t>
  </si>
  <si>
    <t>5.1.1</t>
  </si>
  <si>
    <t>5.1.2</t>
  </si>
  <si>
    <t>5.2.3</t>
  </si>
  <si>
    <t>5.2.4</t>
  </si>
  <si>
    <t>5.2.5</t>
  </si>
  <si>
    <t>5.3.1</t>
  </si>
  <si>
    <t>5.3.2</t>
  </si>
  <si>
    <r>
      <t xml:space="preserve">Output 5. 4 (DGTTF ) </t>
    </r>
    <r>
      <rPr>
        <sz val="10"/>
        <rFont val="Book Antiqua"/>
        <family val="1"/>
      </rPr>
      <t>:</t>
    </r>
    <r>
      <rPr>
        <b/>
        <sz val="10"/>
        <rFont val="Book Antiqua"/>
        <family val="1"/>
      </rPr>
      <t xml:space="preserve"> Scale up strategy for MDGs</t>
    </r>
  </si>
  <si>
    <t>5.4.1</t>
  </si>
  <si>
    <t>5.0.1</t>
  </si>
  <si>
    <t>5.0.2</t>
  </si>
  <si>
    <t>5.0.3</t>
  </si>
  <si>
    <t>5.0.5</t>
  </si>
  <si>
    <t>5.0.6</t>
  </si>
  <si>
    <t>5.0.7</t>
  </si>
  <si>
    <t>5.0.8</t>
  </si>
  <si>
    <r>
      <t>Expected  Programme Outputs                                    -</t>
    </r>
    <r>
      <rPr>
        <sz val="10"/>
        <rFont val="Book Antiqua"/>
        <family val="1"/>
      </rPr>
      <t>and indicators and including targets</t>
    </r>
  </si>
  <si>
    <t>Contribution of each Developmental partner as per the AWP (total contribution 2008-2013)</t>
  </si>
  <si>
    <t>ADA</t>
  </si>
  <si>
    <t>DKK 900,000</t>
  </si>
  <si>
    <t>DKK 40,000,000, (SESP contribution to Block Grants)</t>
  </si>
  <si>
    <t>CHF  250,000(Block Grants)</t>
  </si>
  <si>
    <t>CHF 1,000,000.00 (Block Grants)</t>
  </si>
  <si>
    <t xml:space="preserve">UNDP </t>
  </si>
  <si>
    <t>USD 1,500,000</t>
  </si>
  <si>
    <t xml:space="preserve">UNCDF </t>
  </si>
  <si>
    <t>USD    750,000 (additional 50,000 formulation phase)</t>
  </si>
  <si>
    <t>USD 200,000</t>
  </si>
  <si>
    <t>USD 100000 (Block grants) USD 100000 ( Performance grants CCA)</t>
  </si>
  <si>
    <t xml:space="preserve">A.  Develop and introduce Best Practice Award/Recognition for LG's that demonstrate outstanding approach to local governance.
B. Develop Awards/Recognition criterias for individual incentives to LGs( Gup, GAO's etc.)
</t>
  </si>
  <si>
    <t>2011-12</t>
  </si>
  <si>
    <t xml:space="preserve">LoCAl TA, workshop
</t>
  </si>
  <si>
    <t>Develop  radio spots and advocacay materials on decentralisation and annual grants to sensitize LGs on these issues</t>
  </si>
  <si>
    <t>Amount (NU)</t>
  </si>
  <si>
    <r>
      <rPr>
        <b/>
        <sz val="10"/>
        <rFont val="Book Antiqua"/>
        <family val="1"/>
      </rPr>
      <t>LGSP Joint Programme Outcome:</t>
    </r>
    <r>
      <rPr>
        <sz val="10"/>
        <rFont val="Book Antiqua"/>
        <family val="1"/>
      </rPr>
      <t xml:space="preserve">  Democratic governance at local levels enhanced and services delivered effectively and efficiently as mechanism to reduce poverty and contribute to achieving the MDGs.</t>
    </r>
  </si>
  <si>
    <t>UNDP/OR</t>
  </si>
  <si>
    <t>5.1.3</t>
  </si>
  <si>
    <t>5.1.4</t>
  </si>
  <si>
    <t>Training/workshop</t>
  </si>
  <si>
    <t>5.2.1</t>
  </si>
  <si>
    <t>5.2.2</t>
  </si>
  <si>
    <t>5.2.6</t>
  </si>
  <si>
    <t>Establishment of an online network for CC operators</t>
  </si>
  <si>
    <t>Approx 10 advocacy meetings on the services for community representatives</t>
  </si>
  <si>
    <t>Onsite reviews by G2C project officials</t>
  </si>
  <si>
    <t>Development of audio visual clippings on SDS of the e-services</t>
  </si>
  <si>
    <t>Publication of audio-visual clippings on e-services</t>
  </si>
  <si>
    <t>5.3.3</t>
  </si>
  <si>
    <t>5.3.4</t>
  </si>
  <si>
    <t>5.3.5</t>
  </si>
  <si>
    <t xml:space="preserve">Local consultant
</t>
  </si>
  <si>
    <t xml:space="preserve">Joint Monitoring flied visits G2C project </t>
  </si>
  <si>
    <t>EU</t>
  </si>
  <si>
    <t>Euros 1 = Nu.62</t>
  </si>
  <si>
    <t>Curreny exchange rates udes US$ 1= Nu.45; DKK 1= Nu.8.1 ; CHF 1= Nu. 45;</t>
  </si>
  <si>
    <t>Euros 2,800,000(block grants)</t>
  </si>
  <si>
    <t>DKK 25,000,000( Grants and and Capacity Bldg)</t>
  </si>
  <si>
    <t>Contribution from each donor in 2011-2012</t>
  </si>
  <si>
    <t>Euros 1,400,000(Block Grants)</t>
  </si>
  <si>
    <t>Consultant</t>
  </si>
  <si>
    <t>In-country travel</t>
  </si>
  <si>
    <t>Supply of Computers (6 Gewog Accountants, Lhuentse Dzongkhag)</t>
  </si>
  <si>
    <t>Strengthen the utilization and understanding of Annual Grant system/guidelines (AGG)  for the LGs(elected/staff)  through  training /sensitization of the AGG.</t>
  </si>
  <si>
    <t>Training and sensitization on small scale infrastructure design and costing templates for the LGs(elected/staff)</t>
  </si>
  <si>
    <t>Training and sensitization of communtiy contract protocol to the LGs(elected/staff)</t>
  </si>
  <si>
    <t>Training and awareness on local development planning manual  for the LGs (elected/staff) and planning and prioritization</t>
  </si>
  <si>
    <t>Work Plan for Local Governance Support Programme-2011-12</t>
  </si>
  <si>
    <r>
      <t xml:space="preserve">5.0 Effective models for integrated public service and information delivery at local levels       
</t>
    </r>
    <r>
      <rPr>
        <b/>
        <sz val="10"/>
        <rFont val="Book Antiqua"/>
        <family val="1"/>
      </rPr>
      <t xml:space="preserve"> LGSP Indicator:</t>
    </r>
    <r>
      <rPr>
        <sz val="10"/>
        <rFont val="Book Antiqua"/>
        <family val="1"/>
      </rPr>
      <t xml:space="preserve">
• no of models(integrated public service centres) tested and established and in operation
-Newly elected(m/f) use new service rules                  -LGs make CD plans
</t>
    </r>
    <r>
      <rPr>
        <b/>
        <sz val="10"/>
        <rFont val="Book Antiqua"/>
        <family val="1"/>
      </rPr>
      <t>LGSP Indicator:</t>
    </r>
    <r>
      <rPr>
        <sz val="10"/>
        <rFont val="Book Antiqua"/>
        <family val="1"/>
      </rPr>
      <t xml:space="preserve">
• no of services availed online    
                                 </t>
    </r>
  </si>
  <si>
    <t>TA, equipments</t>
  </si>
  <si>
    <t>TA</t>
  </si>
  <si>
    <t>Equipmets</t>
  </si>
  <si>
    <t>Ex-country Travel</t>
  </si>
  <si>
    <t>Euipmets</t>
  </si>
  <si>
    <t>Training /workshop</t>
  </si>
  <si>
    <t>Training/workshop/travel</t>
  </si>
  <si>
    <t>CHF 1,500,000</t>
  </si>
  <si>
    <t>CHF 829797.00(capacity Bldg)</t>
  </si>
  <si>
    <t xml:space="preserve">
</t>
  </si>
  <si>
    <t>Publication of the user feedbacks(online and paper based surveys).</t>
  </si>
  <si>
    <r>
      <rPr>
        <b/>
        <sz val="10"/>
        <rFont val="Book Antiqua"/>
        <family val="1"/>
      </rPr>
      <t>NOTE: Linked to Porject Document : UNDAF 2008 – 2012 Outcome 4: By 2012 institutional capacity and peoples' participation strengthened to ensure good governance (MDGs1, 3, 8).</t>
    </r>
    <r>
      <rPr>
        <sz val="10"/>
        <rFont val="Book Antiqua"/>
        <family val="1"/>
      </rPr>
      <t xml:space="preserve">
LGSP Output 1 linked to CT Output 4.4.3
LGSP Output 2 linked to CT Output 4.4.1 and 4.4.3 
LGSP Output 3 linked to CT Output 4.4.2
LGSP Output 4 linked to CT Output 4.4.1 
LGSP Output 5 linked to CT Output 4.4.1 and 4.4.2</t>
    </r>
  </si>
  <si>
    <t>Contibution till June, 2011</t>
  </si>
  <si>
    <r>
      <t xml:space="preserve">4.0 Central government’s policy, regulatory, support and supervision functions strengthened      
 </t>
    </r>
    <r>
      <rPr>
        <b/>
        <sz val="10"/>
        <rFont val="Book Antiqua"/>
        <family val="1"/>
      </rPr>
      <t>LGSP Indicator;</t>
    </r>
    <r>
      <rPr>
        <sz val="10"/>
        <rFont val="Book Antiqua"/>
        <family val="1"/>
      </rPr>
      <t xml:space="preserve">
No. of official functional capacities in agencies strengthened 
</t>
    </r>
  </si>
  <si>
    <r>
      <t xml:space="preserve">Output 5.1 (DGTTF ) : Design and development of the integrated web portal
Indicators
</t>
    </r>
    <r>
      <rPr>
        <sz val="10"/>
        <rFont val="Book Antiqua"/>
        <family val="1"/>
      </rPr>
      <t xml:space="preserve">1.Development of common web portal
2.Development of assessment mechanism of customer needs
</t>
    </r>
    <r>
      <rPr>
        <b/>
        <sz val="10"/>
        <rFont val="Book Antiqua"/>
        <family val="1"/>
      </rPr>
      <t xml:space="preserve">Targets: </t>
    </r>
    <r>
      <rPr>
        <sz val="10"/>
        <rFont val="Book Antiqua"/>
        <family val="1"/>
      </rPr>
      <t xml:space="preserve">
1. Integrated common gateway portal in place.
2.  Voice of customer portal in place, with feedback mechanism.
</t>
    </r>
    <r>
      <rPr>
        <b/>
        <sz val="10"/>
        <rFont val="Book Antiqua"/>
        <family val="1"/>
      </rPr>
      <t>Baseline:</t>
    </r>
    <r>
      <rPr>
        <sz val="10"/>
        <rFont val="Book Antiqua"/>
        <family val="1"/>
      </rPr>
      <t xml:space="preserve"> No such portals exists 
</t>
    </r>
    <r>
      <rPr>
        <b/>
        <sz val="10"/>
        <rFont val="Book Antiqua"/>
        <family val="1"/>
      </rPr>
      <t xml:space="preserve">
</t>
    </r>
  </si>
  <si>
    <t>Approx 5 roadshows by G2C officials and  vendor on the portal among communities</t>
  </si>
  <si>
    <r>
      <rPr>
        <b/>
        <sz val="10"/>
        <rFont val="Book Antiqua"/>
        <family val="1"/>
      </rPr>
      <t>Output 5.2 (DGTTF ) : Improved technical capacity of service providers, implementers and citizens to implement and utilize e-Governance</t>
    </r>
    <r>
      <rPr>
        <sz val="10"/>
        <rFont val="Book Antiqua"/>
        <family val="1"/>
      </rPr>
      <t xml:space="preserve">
</t>
    </r>
    <r>
      <rPr>
        <b/>
        <sz val="10"/>
        <rFont val="Book Antiqua"/>
        <family val="1"/>
      </rPr>
      <t>Indicators:</t>
    </r>
    <r>
      <rPr>
        <sz val="10"/>
        <rFont val="Book Antiqua"/>
        <family val="1"/>
      </rPr>
      <t xml:space="preserve"> i Technical skills of government service providers and district officials strengthened.
ii . Project Management capacity of project officials strengthened.
</t>
    </r>
    <r>
      <rPr>
        <b/>
        <sz val="10"/>
        <rFont val="Book Antiqua"/>
        <family val="1"/>
      </rPr>
      <t>Targets:</t>
    </r>
    <r>
      <rPr>
        <sz val="10"/>
        <rFont val="Book Antiqua"/>
        <family val="1"/>
      </rPr>
      <t xml:space="preserve"> i. 250 service providers trained; 150 from central agencies (100m/50f) and 100 from districts (60m/40f).
ii. 6 project officials (4m/2f) trained on Project management.
</t>
    </r>
    <r>
      <rPr>
        <b/>
        <sz val="10"/>
        <rFont val="Book Antiqua"/>
        <family val="1"/>
      </rPr>
      <t xml:space="preserve">Baseline: </t>
    </r>
    <r>
      <rPr>
        <sz val="10"/>
        <rFont val="Book Antiqua"/>
        <family val="1"/>
      </rPr>
      <t xml:space="preserve">Necessary skills non-existent among the cadre of targetted officials
</t>
    </r>
  </si>
  <si>
    <t>Ex country Training and workshop</t>
  </si>
  <si>
    <r>
      <rPr>
        <b/>
        <sz val="10"/>
        <rFont val="Book Antiqua"/>
        <family val="1"/>
      </rPr>
      <t>Output 5.3 (DGTTF ) : Development of outreach materials for advocacy and awareness</t>
    </r>
    <r>
      <rPr>
        <sz val="10"/>
        <rFont val="Book Antiqua"/>
        <family val="1"/>
      </rPr>
      <t xml:space="preserve">
</t>
    </r>
    <r>
      <rPr>
        <b/>
        <sz val="10"/>
        <rFont val="Book Antiqua"/>
        <family val="1"/>
      </rPr>
      <t>Indicators :</t>
    </r>
    <r>
      <rPr>
        <sz val="10"/>
        <rFont val="Book Antiqua"/>
        <family val="1"/>
      </rPr>
      <t xml:space="preserve">Citizen education materials developed 
</t>
    </r>
    <r>
      <rPr>
        <b/>
        <sz val="10"/>
        <rFont val="Book Antiqua"/>
        <family val="1"/>
      </rPr>
      <t>Targets:</t>
    </r>
    <r>
      <rPr>
        <sz val="10"/>
        <rFont val="Book Antiqua"/>
        <family val="1"/>
      </rPr>
      <t xml:space="preserve"> Outreach materials distributed to all districts
</t>
    </r>
    <r>
      <rPr>
        <b/>
        <sz val="10"/>
        <rFont val="Book Antiqua"/>
        <family val="1"/>
      </rPr>
      <t xml:space="preserve">Baseline: </t>
    </r>
    <r>
      <rPr>
        <sz val="10"/>
        <rFont val="Book Antiqua"/>
        <family val="1"/>
      </rPr>
      <t xml:space="preserve">G2C Awareness Brochure and introductory insertion developed.
</t>
    </r>
  </si>
  <si>
    <t>Development of a 15-20 minutes audio-visual clippings on the overall G2C initiative</t>
  </si>
  <si>
    <t>DLG,  MoF, NCWC</t>
  </si>
  <si>
    <t>Sensitization on Gender Responsive Budgeting (GRB) and Training of Trainers</t>
  </si>
  <si>
    <t xml:space="preserve">Gender sensitization of local governments  and Gender Capacity Assessment and Capacity Development Strategy (including TNA, Development of training materials and roll out of pilot triainings) </t>
  </si>
  <si>
    <t>NCWC,DLG</t>
  </si>
  <si>
    <t xml:space="preserve">Capacity development of LGs (elected/staff) to strengthen planning process and public expenditure managemt using RBM and NMES </t>
  </si>
  <si>
    <t>Training for LGs  (elcted/staff) on effective office management skills (Basic computer course/dzongkha unicode, writing standardized minutes, etc) including  sensitization of LG Act, and rules and regulation.</t>
  </si>
  <si>
    <t xml:space="preserve">Capacity Development for LGs(elected/staff) in conflict resolution and leadership, etc. </t>
  </si>
  <si>
    <t>Peer learning visits for LGs  (men &amp; women)  to exchange experience &amp; learn from these experiences</t>
  </si>
  <si>
    <t>Support to LGs (elected/staff)to participate in relevant training in local governance and decentralization policy and programmes in the region.</t>
  </si>
  <si>
    <t>TA ( int'l and local), workshop, Grants</t>
  </si>
  <si>
    <t>DIT/DLG</t>
  </si>
  <si>
    <t>*Output 5, Actvity 5.0.4 “Singapore trip is only conditionally approved”,</t>
  </si>
  <si>
    <t>*5.0.4</t>
  </si>
  <si>
    <t>MoF</t>
  </si>
  <si>
    <t>UN funds in USD</t>
  </si>
  <si>
    <t>DKK 7,500,000(Block grants)</t>
  </si>
  <si>
    <t>ROD</t>
  </si>
  <si>
    <t>USD DGTTF 187,700</t>
  </si>
  <si>
    <t>*DKK 18,750,000(Block Grants)</t>
  </si>
  <si>
    <t>Euros 500,000(capacity bldg)</t>
  </si>
  <si>
    <t xml:space="preserve">Joint Monitoring field visits UN Women project </t>
  </si>
  <si>
    <t>USD 181,101.3</t>
  </si>
  <si>
    <t>USD UN Women 130,849</t>
  </si>
  <si>
    <t>USD 111,143.7</t>
  </si>
  <si>
    <t>MOF/DLG(MoHCA</t>
  </si>
  <si>
    <r>
      <t xml:space="preserve">Technical Assistance APRC G2C project </t>
    </r>
    <r>
      <rPr>
        <sz val="10"/>
        <color indexed="10"/>
        <rFont val="Book Antiqua"/>
        <family val="1"/>
      </rPr>
      <t>(postpond to 2012)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</si>
</sst>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0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#,##0.0000"/>
    <numFmt numFmtId="184" formatCode="#,##0.00000"/>
    <numFmt numFmtId="185" formatCode="[$-409]dddd\,\ mmmm\ dd\,\ yyyy"/>
    <numFmt numFmtId="186" formatCode="[$-409]h:mm:ss\ AM/PM"/>
    <numFmt numFmtId="187" formatCode="_(* #,##0.000_);_(* \(#,##0.000\);_(* &quot;-&quot;???_);_(@_)"/>
    <numFmt numFmtId="188" formatCode="0.00_);\(0.00\)"/>
    <numFmt numFmtId="189" formatCode="0.00;[Red]0.00"/>
    <numFmt numFmtId="190" formatCode="\=\ \(\Q\-\U\)"/>
  </numFmts>
  <fonts count="56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9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 Antiqua"/>
      <family val="1"/>
    </font>
    <font>
      <b/>
      <sz val="10"/>
      <color indexed="10"/>
      <name val="Book Antiqua"/>
      <family val="1"/>
    </font>
    <font>
      <b/>
      <sz val="8"/>
      <color indexed="8"/>
      <name val="Book Antiqua"/>
      <family val="1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b/>
      <sz val="8"/>
      <color theme="1"/>
      <name val="Book Antiqua"/>
      <family val="1"/>
    </font>
    <font>
      <sz val="11"/>
      <color rgb="FF1F497D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left" vertical="top"/>
    </xf>
    <xf numFmtId="2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2" fontId="2" fillId="35" borderId="0" xfId="0" applyNumberFormat="1" applyFont="1" applyFill="1" applyAlignment="1">
      <alignment horizontal="left" vertical="top" wrapText="1"/>
    </xf>
    <xf numFmtId="2" fontId="2" fillId="34" borderId="0" xfId="0" applyNumberFormat="1" applyFont="1" applyFill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/>
    </xf>
    <xf numFmtId="2" fontId="2" fillId="36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>
      <alignment horizontal="left" vertical="top" wrapText="1"/>
    </xf>
    <xf numFmtId="171" fontId="2" fillId="0" borderId="10" xfId="42" applyFont="1" applyBorder="1" applyAlignment="1">
      <alignment horizontal="left" vertical="top" wrapText="1"/>
    </xf>
    <xf numFmtId="2" fontId="2" fillId="37" borderId="10" xfId="0" applyNumberFormat="1" applyFont="1" applyFill="1" applyBorder="1" applyAlignment="1">
      <alignment horizontal="left" vertical="top" wrapText="1"/>
    </xf>
    <xf numFmtId="2" fontId="2" fillId="37" borderId="0" xfId="0" applyNumberFormat="1" applyFont="1" applyFill="1" applyAlignment="1">
      <alignment horizontal="left" vertical="top" wrapText="1"/>
    </xf>
    <xf numFmtId="2" fontId="3" fillId="0" borderId="10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3" fillId="0" borderId="0" xfId="0" applyNumberFormat="1" applyFont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/>
    </xf>
    <xf numFmtId="2" fontId="3" fillId="0" borderId="15" xfId="0" applyNumberFormat="1" applyFont="1" applyBorder="1" applyAlignment="1">
      <alignment horizontal="left" vertical="top"/>
    </xf>
    <xf numFmtId="2" fontId="7" fillId="37" borderId="0" xfId="0" applyNumberFormat="1" applyFont="1" applyFill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/>
    </xf>
    <xf numFmtId="171" fontId="3" fillId="34" borderId="10" xfId="42" applyFont="1" applyFill="1" applyBorder="1" applyAlignment="1">
      <alignment horizontal="left" vertical="top" wrapText="1"/>
    </xf>
    <xf numFmtId="171" fontId="3" fillId="35" borderId="10" xfId="42" applyFont="1" applyFill="1" applyBorder="1" applyAlignment="1">
      <alignment horizontal="left" vertical="top" wrapText="1"/>
    </xf>
    <xf numFmtId="171" fontId="2" fillId="0" borderId="10" xfId="42" applyFont="1" applyFill="1" applyBorder="1" applyAlignment="1">
      <alignment horizontal="left" vertical="top" wrapText="1"/>
    </xf>
    <xf numFmtId="171" fontId="2" fillId="0" borderId="0" xfId="42" applyFont="1" applyAlignment="1">
      <alignment horizontal="left" vertical="top" wrapText="1"/>
    </xf>
    <xf numFmtId="171" fontId="2" fillId="33" borderId="10" xfId="42" applyFont="1" applyFill="1" applyBorder="1" applyAlignment="1">
      <alignment horizontal="left" vertical="top" wrapText="1"/>
    </xf>
    <xf numFmtId="171" fontId="2" fillId="35" borderId="10" xfId="42" applyFont="1" applyFill="1" applyBorder="1" applyAlignment="1">
      <alignment horizontal="left" vertical="top" wrapText="1"/>
    </xf>
    <xf numFmtId="171" fontId="3" fillId="37" borderId="10" xfId="42" applyFont="1" applyFill="1" applyBorder="1" applyAlignment="1">
      <alignment horizontal="center" vertical="top" wrapText="1"/>
    </xf>
    <xf numFmtId="171" fontId="3" fillId="37" borderId="10" xfId="42" applyFont="1" applyFill="1" applyBorder="1" applyAlignment="1">
      <alignment horizontal="left" vertical="top" wrapText="1"/>
    </xf>
    <xf numFmtId="171" fontId="2" fillId="37" borderId="10" xfId="42" applyFont="1" applyFill="1" applyBorder="1" applyAlignment="1">
      <alignment horizontal="left" vertical="top" wrapText="1"/>
    </xf>
    <xf numFmtId="171" fontId="3" fillId="0" borderId="10" xfId="42" applyFont="1" applyBorder="1" applyAlignment="1">
      <alignment horizontal="left" vertical="top" wrapText="1"/>
    </xf>
    <xf numFmtId="171" fontId="3" fillId="0" borderId="16" xfId="42" applyFont="1" applyBorder="1" applyAlignment="1">
      <alignment vertical="top"/>
    </xf>
    <xf numFmtId="171" fontId="3" fillId="0" borderId="10" xfId="42" applyFont="1" applyBorder="1" applyAlignment="1">
      <alignment vertical="top"/>
    </xf>
    <xf numFmtId="171" fontId="5" fillId="37" borderId="10" xfId="42" applyFont="1" applyFill="1" applyBorder="1" applyAlignment="1" applyProtection="1">
      <alignment horizontal="center" vertical="center" wrapText="1"/>
      <protection/>
    </xf>
    <xf numFmtId="171" fontId="3" fillId="0" borderId="15" xfId="42" applyFont="1" applyBorder="1" applyAlignment="1">
      <alignment vertical="top"/>
    </xf>
    <xf numFmtId="171" fontId="2" fillId="0" borderId="10" xfId="42" applyFont="1" applyBorder="1" applyAlignment="1">
      <alignment horizontal="right" vertical="top" wrapText="1"/>
    </xf>
    <xf numFmtId="171" fontId="3" fillId="37" borderId="10" xfId="42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2" fontId="52" fillId="0" borderId="10" xfId="0" applyNumberFormat="1" applyFont="1" applyBorder="1" applyAlignment="1">
      <alignment horizontal="left" vertical="top" wrapText="1"/>
    </xf>
    <xf numFmtId="171" fontId="52" fillId="0" borderId="10" xfId="42" applyFont="1" applyBorder="1" applyAlignment="1">
      <alignment horizontal="left" vertical="top" wrapText="1"/>
    </xf>
    <xf numFmtId="171" fontId="53" fillId="0" borderId="10" xfId="42" applyFont="1" applyBorder="1" applyAlignment="1">
      <alignment horizontal="left" vertical="top" wrapText="1"/>
    </xf>
    <xf numFmtId="2" fontId="52" fillId="0" borderId="0" xfId="0" applyNumberFormat="1" applyFont="1" applyAlignment="1">
      <alignment horizontal="left" vertical="top" wrapText="1"/>
    </xf>
    <xf numFmtId="2" fontId="3" fillId="37" borderId="10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left" vertical="top"/>
    </xf>
    <xf numFmtId="171" fontId="2" fillId="0" borderId="0" xfId="42" applyFont="1" applyFill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left" vertical="top" wrapText="1"/>
    </xf>
    <xf numFmtId="171" fontId="9" fillId="37" borderId="10" xfId="42" applyFont="1" applyFill="1" applyBorder="1" applyAlignment="1">
      <alignment horizontal="left" vertical="center" wrapText="1"/>
    </xf>
    <xf numFmtId="171" fontId="54" fillId="37" borderId="10" xfId="42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2" fontId="6" fillId="37" borderId="15" xfId="0" applyNumberFormat="1" applyFont="1" applyFill="1" applyBorder="1" applyAlignment="1">
      <alignment horizontal="center" vertical="center" wrapText="1"/>
    </xf>
    <xf numFmtId="2" fontId="6" fillId="37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vertical="top"/>
    </xf>
    <xf numFmtId="2" fontId="3" fillId="0" borderId="17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top" wrapText="1"/>
    </xf>
    <xf numFmtId="2" fontId="6" fillId="37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23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left" vertical="center" wrapText="1"/>
    </xf>
    <xf numFmtId="2" fontId="3" fillId="0" borderId="25" xfId="0" applyNumberFormat="1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left" vertical="top" wrapText="1"/>
    </xf>
    <xf numFmtId="2" fontId="3" fillId="37" borderId="10" xfId="0" applyNumberFormat="1" applyFont="1" applyFill="1" applyBorder="1" applyAlignment="1">
      <alignment horizontal="center" vertical="center" wrapText="1"/>
    </xf>
    <xf numFmtId="181" fontId="5" fillId="37" borderId="10" xfId="42" applyNumberFormat="1" applyFont="1" applyFill="1" applyBorder="1" applyAlignment="1" applyProtection="1">
      <alignment horizontal="center" vertical="center" wrapText="1"/>
      <protection/>
    </xf>
    <xf numFmtId="2" fontId="3" fillId="37" borderId="10" xfId="0" applyNumberFormat="1" applyFont="1" applyFill="1" applyBorder="1" applyAlignment="1">
      <alignment horizontal="left" vertical="top" wrapText="1"/>
    </xf>
    <xf numFmtId="2" fontId="3" fillId="37" borderId="13" xfId="0" applyNumberFormat="1" applyFont="1" applyFill="1" applyBorder="1" applyAlignment="1">
      <alignment horizontal="center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2" fontId="2" fillId="37" borderId="20" xfId="0" applyNumberFormat="1" applyFont="1" applyFill="1" applyBorder="1" applyAlignment="1">
      <alignment horizontal="center" vertical="center" wrapText="1"/>
    </xf>
    <xf numFmtId="2" fontId="3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vertical="top" wrapText="1"/>
    </xf>
    <xf numFmtId="2" fontId="3" fillId="37" borderId="16" xfId="0" applyNumberFormat="1" applyFont="1" applyFill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left" vertical="center" wrapText="1"/>
    </xf>
    <xf numFmtId="2" fontId="3" fillId="37" borderId="13" xfId="0" applyNumberFormat="1" applyFont="1" applyFill="1" applyBorder="1" applyAlignment="1">
      <alignment horizontal="left" vertical="center" wrapText="1"/>
    </xf>
    <xf numFmtId="2" fontId="3" fillId="37" borderId="11" xfId="0" applyNumberFormat="1" applyFont="1" applyFill="1" applyBorder="1" applyAlignment="1">
      <alignment horizontal="left" vertical="center" wrapText="1"/>
    </xf>
    <xf numFmtId="2" fontId="3" fillId="37" borderId="2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left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vertical="center" wrapText="1"/>
    </xf>
    <xf numFmtId="2" fontId="3" fillId="37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left" vertical="top"/>
    </xf>
    <xf numFmtId="2" fontId="3" fillId="0" borderId="15" xfId="0" applyNumberFormat="1" applyFont="1" applyBorder="1" applyAlignment="1">
      <alignment horizontal="left" vertical="top"/>
    </xf>
    <xf numFmtId="2" fontId="3" fillId="0" borderId="16" xfId="0" applyNumberFormat="1" applyFont="1" applyBorder="1" applyAlignment="1">
      <alignment horizontal="left" vertical="top"/>
    </xf>
    <xf numFmtId="2" fontId="2" fillId="37" borderId="2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left" vertical="top" wrapText="1"/>
    </xf>
    <xf numFmtId="2" fontId="2" fillId="33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"/>
  <sheetViews>
    <sheetView tabSelected="1" view="pageLayout" zoomScale="91" zoomScaleNormal="89" zoomScaleSheetLayoutView="71" zoomScalePageLayoutView="91" workbookViewId="0" topLeftCell="C53">
      <selection activeCell="P65" sqref="P65"/>
    </sheetView>
  </sheetViews>
  <sheetFormatPr defaultColWidth="9.140625" defaultRowHeight="12.75"/>
  <cols>
    <col min="1" max="1" width="41.00390625" style="4" customWidth="1"/>
    <col min="2" max="2" width="6.00390625" style="4" customWidth="1"/>
    <col min="3" max="3" width="32.28125" style="4" customWidth="1"/>
    <col min="4" max="4" width="4.28125" style="4" hidden="1" customWidth="1"/>
    <col min="5" max="5" width="3.00390625" style="4" customWidth="1"/>
    <col min="6" max="6" width="2.28125" style="4" customWidth="1"/>
    <col min="7" max="7" width="2.57421875" style="4" customWidth="1"/>
    <col min="8" max="8" width="2.7109375" style="4" customWidth="1"/>
    <col min="9" max="9" width="2.28125" style="4" customWidth="1"/>
    <col min="10" max="10" width="2.421875" style="4" customWidth="1"/>
    <col min="11" max="11" width="2.7109375" style="4" hidden="1" customWidth="1"/>
    <col min="12" max="12" width="6.00390625" style="4" hidden="1" customWidth="1"/>
    <col min="13" max="13" width="9.8515625" style="4" customWidth="1"/>
    <col min="14" max="14" width="11.8515625" style="4" customWidth="1"/>
    <col min="15" max="15" width="12.421875" style="45" customWidth="1"/>
    <col min="16" max="16" width="14.28125" style="45" customWidth="1"/>
    <col min="17" max="17" width="17.140625" style="45" customWidth="1"/>
    <col min="18" max="18" width="13.57421875" style="4" hidden="1" customWidth="1"/>
    <col min="19" max="20" width="12.8515625" style="4" hidden="1" customWidth="1"/>
    <col min="21" max="21" width="0.13671875" style="4" hidden="1" customWidth="1"/>
    <col min="22" max="22" width="13.00390625" style="45" customWidth="1"/>
    <col min="23" max="23" width="13.8515625" style="45" customWidth="1"/>
    <col min="24" max="24" width="14.7109375" style="45" customWidth="1"/>
    <col min="25" max="25" width="13.28125" style="45" customWidth="1"/>
    <col min="26" max="26" width="14.28125" style="45" customWidth="1"/>
    <col min="27" max="27" width="10.57421875" style="45" customWidth="1"/>
    <col min="28" max="28" width="11.00390625" style="45" customWidth="1"/>
    <col min="29" max="29" width="12.28125" style="45" customWidth="1"/>
    <col min="30" max="30" width="23.28125" style="4" customWidth="1"/>
    <col min="31" max="31" width="11.00390625" style="4" bestFit="1" customWidth="1"/>
    <col min="32" max="33" width="9.140625" style="4" customWidth="1"/>
    <col min="34" max="34" width="9.421875" style="4" bestFit="1" customWidth="1"/>
    <col min="35" max="51" width="9.140625" style="4" customWidth="1"/>
    <col min="52" max="52" width="14.00390625" style="4" customWidth="1"/>
    <col min="53" max="16384" width="9.140625" style="4" customWidth="1"/>
  </cols>
  <sheetData>
    <row r="1" spans="1:29" s="20" customFormat="1" ht="40.5" customHeight="1">
      <c r="A1" s="107" t="s">
        <v>165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s="20" customFormat="1" ht="40.5" customHeight="1">
      <c r="A2" s="108" t="s">
        <v>133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s="19" customFormat="1" ht="18.75" customHeight="1">
      <c r="A3" s="109" t="s">
        <v>115</v>
      </c>
      <c r="B3" s="100"/>
      <c r="C3" s="101" t="s">
        <v>0</v>
      </c>
      <c r="D3" s="104" t="s">
        <v>3</v>
      </c>
      <c r="E3" s="105"/>
      <c r="F3" s="105"/>
      <c r="G3" s="105"/>
      <c r="H3" s="105"/>
      <c r="I3" s="105"/>
      <c r="J3" s="106"/>
      <c r="K3" s="64"/>
      <c r="L3" s="64"/>
      <c r="M3" s="100" t="s">
        <v>5</v>
      </c>
      <c r="N3" s="109" t="s">
        <v>11</v>
      </c>
      <c r="O3" s="99" t="s">
        <v>132</v>
      </c>
      <c r="P3" s="99"/>
      <c r="Q3" s="99"/>
      <c r="R3" s="98" t="s">
        <v>78</v>
      </c>
      <c r="S3" s="98"/>
      <c r="T3" s="98"/>
      <c r="U3" s="98"/>
      <c r="V3" s="98"/>
      <c r="W3" s="98"/>
      <c r="X3" s="98"/>
      <c r="Y3" s="98"/>
      <c r="Z3" s="98"/>
      <c r="AA3" s="126" t="s">
        <v>201</v>
      </c>
      <c r="AB3" s="126"/>
      <c r="AC3" s="126"/>
    </row>
    <row r="4" spans="1:29" s="19" customFormat="1" ht="18" customHeight="1">
      <c r="A4" s="110"/>
      <c r="B4" s="100"/>
      <c r="C4" s="102"/>
      <c r="D4" s="64" t="s">
        <v>7</v>
      </c>
      <c r="E4" s="119" t="s">
        <v>129</v>
      </c>
      <c r="F4" s="120"/>
      <c r="G4" s="120"/>
      <c r="H4" s="120"/>
      <c r="I4" s="120"/>
      <c r="J4" s="121"/>
      <c r="K4" s="100">
        <v>12</v>
      </c>
      <c r="L4" s="100"/>
      <c r="M4" s="100"/>
      <c r="N4" s="110"/>
      <c r="O4" s="99"/>
      <c r="P4" s="99"/>
      <c r="Q4" s="99"/>
      <c r="R4" s="98"/>
      <c r="S4" s="98"/>
      <c r="T4" s="98"/>
      <c r="U4" s="98"/>
      <c r="V4" s="98"/>
      <c r="W4" s="98"/>
      <c r="X4" s="98"/>
      <c r="Y4" s="98"/>
      <c r="Z4" s="98"/>
      <c r="AA4" s="126"/>
      <c r="AB4" s="126"/>
      <c r="AC4" s="126"/>
    </row>
    <row r="5" spans="1:29" s="19" customFormat="1" ht="47.25" customHeight="1">
      <c r="A5" s="125"/>
      <c r="B5" s="100"/>
      <c r="C5" s="103"/>
      <c r="D5" s="64" t="s">
        <v>8</v>
      </c>
      <c r="E5" s="64" t="s">
        <v>8</v>
      </c>
      <c r="F5" s="64" t="s">
        <v>9</v>
      </c>
      <c r="G5" s="64" t="s">
        <v>75</v>
      </c>
      <c r="H5" s="64" t="s">
        <v>76</v>
      </c>
      <c r="I5" s="64" t="s">
        <v>8</v>
      </c>
      <c r="J5" s="64" t="s">
        <v>9</v>
      </c>
      <c r="K5" s="64" t="s">
        <v>1</v>
      </c>
      <c r="L5" s="64" t="s">
        <v>2</v>
      </c>
      <c r="M5" s="64" t="s">
        <v>10</v>
      </c>
      <c r="N5" s="111"/>
      <c r="O5" s="54" t="s">
        <v>80</v>
      </c>
      <c r="P5" s="54" t="s">
        <v>79</v>
      </c>
      <c r="Q5" s="54" t="s">
        <v>77</v>
      </c>
      <c r="R5" s="64" t="s">
        <v>21</v>
      </c>
      <c r="S5" s="64" t="s">
        <v>6</v>
      </c>
      <c r="T5" s="64" t="s">
        <v>94</v>
      </c>
      <c r="U5" s="64" t="s">
        <v>15</v>
      </c>
      <c r="V5" s="68" t="s">
        <v>151</v>
      </c>
      <c r="W5" s="69" t="s">
        <v>203</v>
      </c>
      <c r="X5" s="69" t="s">
        <v>6</v>
      </c>
      <c r="Y5" s="69" t="s">
        <v>94</v>
      </c>
      <c r="Z5" s="69" t="s">
        <v>15</v>
      </c>
      <c r="AA5" s="57" t="s">
        <v>96</v>
      </c>
      <c r="AB5" s="48" t="s">
        <v>97</v>
      </c>
      <c r="AC5" s="48" t="s">
        <v>98</v>
      </c>
    </row>
    <row r="6" spans="1:29" ht="66" customHeight="1">
      <c r="A6" s="79" t="s">
        <v>70</v>
      </c>
      <c r="B6" s="1">
        <v>1</v>
      </c>
      <c r="C6" s="2" t="s">
        <v>25</v>
      </c>
      <c r="D6" s="2"/>
      <c r="E6" s="2"/>
      <c r="F6" s="2"/>
      <c r="G6" s="3" t="s">
        <v>4</v>
      </c>
      <c r="H6" s="3"/>
      <c r="I6" s="3" t="s">
        <v>4</v>
      </c>
      <c r="J6" s="3"/>
      <c r="K6" s="3"/>
      <c r="L6" s="3"/>
      <c r="M6" s="2" t="s">
        <v>26</v>
      </c>
      <c r="N6" s="2" t="s">
        <v>12</v>
      </c>
      <c r="O6" s="24">
        <v>0</v>
      </c>
      <c r="P6" s="56">
        <f>V6+W6+X6+Y6+Z6</f>
        <v>169714930</v>
      </c>
      <c r="Q6" s="24">
        <f>+P6+O6</f>
        <v>169714930</v>
      </c>
      <c r="R6" s="24">
        <f>(1000000+1863020)*45</f>
        <v>128835900</v>
      </c>
      <c r="S6" s="24">
        <f>240954*45</f>
        <v>10842930</v>
      </c>
      <c r="T6" s="24"/>
      <c r="U6" s="24">
        <f>200000*45</f>
        <v>9000000</v>
      </c>
      <c r="V6" s="24">
        <f>1400000*62</f>
        <v>86800000</v>
      </c>
      <c r="W6" s="56">
        <v>63072000</v>
      </c>
      <c r="X6" s="56">
        <f>240954*45</f>
        <v>10842930</v>
      </c>
      <c r="Y6" s="24">
        <v>0</v>
      </c>
      <c r="Z6" s="24">
        <f>200000*45</f>
        <v>9000000</v>
      </c>
      <c r="AA6" s="24">
        <v>0</v>
      </c>
      <c r="AB6" s="24">
        <v>0</v>
      </c>
      <c r="AC6" s="24">
        <f>Z6/45</f>
        <v>200000</v>
      </c>
    </row>
    <row r="7" spans="1:30" ht="45" customHeight="1">
      <c r="A7" s="80"/>
      <c r="B7" s="1">
        <v>2</v>
      </c>
      <c r="C7" s="2" t="s">
        <v>68</v>
      </c>
      <c r="D7" s="2"/>
      <c r="E7" s="2"/>
      <c r="F7" s="3" t="s">
        <v>4</v>
      </c>
      <c r="G7" s="3" t="s">
        <v>4</v>
      </c>
      <c r="H7" s="3" t="s">
        <v>4</v>
      </c>
      <c r="I7" s="3" t="s">
        <v>4</v>
      </c>
      <c r="J7" s="3"/>
      <c r="K7" s="3"/>
      <c r="L7" s="3"/>
      <c r="M7" s="2" t="s">
        <v>211</v>
      </c>
      <c r="N7" s="2" t="s">
        <v>69</v>
      </c>
      <c r="O7" s="24">
        <v>2323651.5</v>
      </c>
      <c r="P7" s="24">
        <v>1395000</v>
      </c>
      <c r="Q7" s="24">
        <f>+P7+O7</f>
        <v>3718651.5</v>
      </c>
      <c r="R7" s="24"/>
      <c r="S7" s="24"/>
      <c r="T7" s="24"/>
      <c r="U7" s="24">
        <f>AC7*45</f>
        <v>3718651.5</v>
      </c>
      <c r="V7" s="24">
        <v>0</v>
      </c>
      <c r="W7" s="24">
        <v>0</v>
      </c>
      <c r="X7" s="24">
        <v>0</v>
      </c>
      <c r="Y7" s="24">
        <v>0</v>
      </c>
      <c r="Z7" s="24">
        <f>P7+O7</f>
        <v>3718651.5</v>
      </c>
      <c r="AA7" s="24">
        <v>0</v>
      </c>
      <c r="AB7" s="24">
        <v>0</v>
      </c>
      <c r="AC7" s="24">
        <f>Z7/45</f>
        <v>82636.7</v>
      </c>
      <c r="AD7" s="24"/>
    </row>
    <row r="8" spans="1:30" ht="249" customHeight="1">
      <c r="A8" s="81"/>
      <c r="B8" s="1">
        <v>3</v>
      </c>
      <c r="C8" s="2" t="s">
        <v>161</v>
      </c>
      <c r="D8" s="2"/>
      <c r="E8" s="3"/>
      <c r="F8" s="3" t="s">
        <v>4</v>
      </c>
      <c r="G8" s="3" t="s">
        <v>4</v>
      </c>
      <c r="H8" s="3" t="s">
        <v>4</v>
      </c>
      <c r="I8" s="3"/>
      <c r="J8" s="3"/>
      <c r="K8" s="3"/>
      <c r="L8" s="3"/>
      <c r="M8" s="2" t="s">
        <v>26</v>
      </c>
      <c r="N8" s="2" t="s">
        <v>27</v>
      </c>
      <c r="O8" s="24">
        <v>253525.5</v>
      </c>
      <c r="P8" s="24">
        <v>225000</v>
      </c>
      <c r="Q8" s="24">
        <f>+P8+O8</f>
        <v>478525.5</v>
      </c>
      <c r="R8" s="24"/>
      <c r="S8" s="24"/>
      <c r="T8" s="24">
        <f>AA8*45</f>
        <v>478525.5</v>
      </c>
      <c r="U8" s="24"/>
      <c r="V8" s="24">
        <v>0</v>
      </c>
      <c r="W8" s="24">
        <v>0</v>
      </c>
      <c r="X8" s="24">
        <v>0</v>
      </c>
      <c r="Y8" s="24">
        <v>478525.5</v>
      </c>
      <c r="Z8" s="24">
        <f>SUM(U8)</f>
        <v>0</v>
      </c>
      <c r="AA8" s="44">
        <f>+Q8/45</f>
        <v>10633.9</v>
      </c>
      <c r="AB8" s="24">
        <v>0</v>
      </c>
      <c r="AC8" s="24">
        <v>0</v>
      </c>
      <c r="AD8" s="8"/>
    </row>
    <row r="9" spans="1:30" ht="18" customHeight="1">
      <c r="A9" s="17"/>
      <c r="B9" s="18"/>
      <c r="C9" s="118" t="s">
        <v>14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42">
        <f>+SUM(O6:O8)</f>
        <v>2577177</v>
      </c>
      <c r="P9" s="42">
        <f>+SUM(P6:P8)</f>
        <v>171334930</v>
      </c>
      <c r="Q9" s="42">
        <f>+SUM(Q6:Q8)</f>
        <v>173912107</v>
      </c>
      <c r="R9" s="42">
        <f>R6+R7+R8</f>
        <v>128835900</v>
      </c>
      <c r="S9" s="42">
        <f>S6+S7+S8</f>
        <v>10842930</v>
      </c>
      <c r="T9" s="42">
        <f>SUM(T6:T8)</f>
        <v>478525.5</v>
      </c>
      <c r="U9" s="42">
        <f>SUM(U6:U8)</f>
        <v>12718651.5</v>
      </c>
      <c r="V9" s="42">
        <f aca="true" t="shared" si="0" ref="V9:AC9">+SUM(V6:V8)</f>
        <v>86800000</v>
      </c>
      <c r="W9" s="42">
        <f t="shared" si="0"/>
        <v>63072000</v>
      </c>
      <c r="X9" s="42">
        <f t="shared" si="0"/>
        <v>10842930</v>
      </c>
      <c r="Y9" s="42">
        <f t="shared" si="0"/>
        <v>478525.5</v>
      </c>
      <c r="Z9" s="42">
        <f t="shared" si="0"/>
        <v>12718651.5</v>
      </c>
      <c r="AA9" s="42">
        <f t="shared" si="0"/>
        <v>10633.9</v>
      </c>
      <c r="AB9" s="42">
        <f t="shared" si="0"/>
        <v>0</v>
      </c>
      <c r="AC9" s="42">
        <f t="shared" si="0"/>
        <v>282636.7</v>
      </c>
      <c r="AD9" s="45"/>
    </row>
    <row r="10" spans="1:29" ht="56.25" customHeight="1">
      <c r="A10" s="96" t="s">
        <v>71</v>
      </c>
      <c r="B10" s="1">
        <v>1</v>
      </c>
      <c r="C10" s="2" t="s">
        <v>162</v>
      </c>
      <c r="D10" s="2"/>
      <c r="E10" s="2"/>
      <c r="F10" s="2"/>
      <c r="G10" s="3" t="s">
        <v>4</v>
      </c>
      <c r="H10" s="3" t="s">
        <v>4</v>
      </c>
      <c r="I10" s="3"/>
      <c r="J10" s="3"/>
      <c r="K10" s="3"/>
      <c r="L10" s="3"/>
      <c r="M10" s="24" t="s">
        <v>26</v>
      </c>
      <c r="N10" s="24" t="s">
        <v>44</v>
      </c>
      <c r="O10" s="24">
        <v>382815</v>
      </c>
      <c r="P10" s="24">
        <v>225000</v>
      </c>
      <c r="Q10" s="24">
        <f>+P10+O10</f>
        <v>607815</v>
      </c>
      <c r="R10" s="24"/>
      <c r="S10" s="24"/>
      <c r="T10" s="24">
        <f>5000*45</f>
        <v>225000</v>
      </c>
      <c r="U10" s="24">
        <f>AC10*45</f>
        <v>382815</v>
      </c>
      <c r="V10" s="24">
        <v>0</v>
      </c>
      <c r="W10" s="24">
        <v>0</v>
      </c>
      <c r="X10" s="24">
        <v>0</v>
      </c>
      <c r="Y10" s="24">
        <v>225000</v>
      </c>
      <c r="Z10" s="24">
        <v>382815</v>
      </c>
      <c r="AA10" s="44">
        <f>+Y10/45</f>
        <v>5000</v>
      </c>
      <c r="AB10" s="24">
        <v>0</v>
      </c>
      <c r="AC10" s="24">
        <f>+Z10/45</f>
        <v>8507</v>
      </c>
    </row>
    <row r="11" spans="1:29" ht="49.5" customHeight="1">
      <c r="A11" s="96"/>
      <c r="B11" s="1">
        <v>2</v>
      </c>
      <c r="C11" s="2" t="s">
        <v>163</v>
      </c>
      <c r="D11" s="2"/>
      <c r="E11" s="2"/>
      <c r="F11" s="2"/>
      <c r="G11" s="3" t="s">
        <v>4</v>
      </c>
      <c r="H11" s="3" t="s">
        <v>4</v>
      </c>
      <c r="I11" s="3"/>
      <c r="J11" s="3"/>
      <c r="K11" s="3"/>
      <c r="L11" s="3"/>
      <c r="M11" s="24" t="s">
        <v>18</v>
      </c>
      <c r="N11" s="24" t="s">
        <v>43</v>
      </c>
      <c r="O11" s="24">
        <v>0</v>
      </c>
      <c r="P11" s="24">
        <v>225000</v>
      </c>
      <c r="Q11" s="24">
        <f>+P11+O11</f>
        <v>225000</v>
      </c>
      <c r="R11" s="24"/>
      <c r="S11" s="24"/>
      <c r="T11" s="24">
        <f>5000*45</f>
        <v>225000</v>
      </c>
      <c r="U11" s="24"/>
      <c r="V11" s="24">
        <v>0</v>
      </c>
      <c r="W11" s="24">
        <v>0</v>
      </c>
      <c r="X11" s="24">
        <v>0</v>
      </c>
      <c r="Y11" s="24">
        <v>225000</v>
      </c>
      <c r="Z11" s="24">
        <v>0</v>
      </c>
      <c r="AA11" s="44">
        <f>+Q11/45</f>
        <v>5000</v>
      </c>
      <c r="AB11" s="24">
        <v>0</v>
      </c>
      <c r="AC11" s="24">
        <v>0</v>
      </c>
    </row>
    <row r="12" spans="1:29" ht="122.25" customHeight="1">
      <c r="A12" s="96"/>
      <c r="B12" s="1">
        <v>3</v>
      </c>
      <c r="C12" s="2" t="s">
        <v>164</v>
      </c>
      <c r="D12" s="2"/>
      <c r="E12" s="2"/>
      <c r="F12" s="2"/>
      <c r="G12" s="3" t="s">
        <v>4</v>
      </c>
      <c r="H12" s="3" t="s">
        <v>4</v>
      </c>
      <c r="I12" s="2"/>
      <c r="J12" s="3"/>
      <c r="K12" s="3"/>
      <c r="L12" s="3"/>
      <c r="M12" s="24" t="s">
        <v>26</v>
      </c>
      <c r="N12" s="24" t="s">
        <v>36</v>
      </c>
      <c r="O12" s="24">
        <v>0</v>
      </c>
      <c r="P12" s="24">
        <v>450000</v>
      </c>
      <c r="Q12" s="24">
        <f>+P12+O12</f>
        <v>450000</v>
      </c>
      <c r="R12" s="24">
        <f>10000*45</f>
        <v>450000</v>
      </c>
      <c r="S12" s="24"/>
      <c r="T12" s="24">
        <f>SUM(T10:T11)</f>
        <v>450000</v>
      </c>
      <c r="U12" s="24"/>
      <c r="V12" s="24">
        <v>0</v>
      </c>
      <c r="W12" s="24">
        <f>Q12</f>
        <v>450000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30" ht="127.5" customHeight="1">
      <c r="A13" s="96"/>
      <c r="B13" s="1">
        <v>4</v>
      </c>
      <c r="C13" s="2" t="s">
        <v>128</v>
      </c>
      <c r="D13" s="2"/>
      <c r="E13" s="3"/>
      <c r="F13" s="3" t="s">
        <v>4</v>
      </c>
      <c r="G13" s="3" t="s">
        <v>4</v>
      </c>
      <c r="H13" s="3" t="s">
        <v>4</v>
      </c>
      <c r="I13" s="3"/>
      <c r="J13" s="3"/>
      <c r="K13" s="3"/>
      <c r="L13" s="3"/>
      <c r="M13" s="24" t="s">
        <v>18</v>
      </c>
      <c r="N13" s="24" t="s">
        <v>130</v>
      </c>
      <c r="O13" s="24">
        <v>900000</v>
      </c>
      <c r="P13" s="24">
        <v>0</v>
      </c>
      <c r="Q13" s="24">
        <f>+P13+O13</f>
        <v>900000</v>
      </c>
      <c r="R13" s="24"/>
      <c r="S13" s="24"/>
      <c r="T13" s="24">
        <f>AA13*45</f>
        <v>900000</v>
      </c>
      <c r="U13" s="24"/>
      <c r="V13" s="24">
        <v>0</v>
      </c>
      <c r="W13" s="24">
        <v>0</v>
      </c>
      <c r="X13" s="24">
        <v>0</v>
      </c>
      <c r="Y13" s="24">
        <v>900000</v>
      </c>
      <c r="Z13" s="24">
        <v>0</v>
      </c>
      <c r="AA13" s="44">
        <f>+Q13/45</f>
        <v>20000</v>
      </c>
      <c r="AB13" s="24">
        <v>0</v>
      </c>
      <c r="AC13" s="24">
        <v>0</v>
      </c>
      <c r="AD13" s="8"/>
    </row>
    <row r="14" spans="1:29" ht="15">
      <c r="A14" s="17"/>
      <c r="B14" s="17"/>
      <c r="C14" s="118" t="s">
        <v>14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42">
        <f>+SUM(O10:O13)</f>
        <v>1282815</v>
      </c>
      <c r="P14" s="42">
        <f aca="true" t="shared" si="1" ref="P14:AC14">+SUM(P10:P13)</f>
        <v>900000</v>
      </c>
      <c r="Q14" s="42">
        <f t="shared" si="1"/>
        <v>2182815</v>
      </c>
      <c r="R14" s="42">
        <f t="shared" si="1"/>
        <v>450000</v>
      </c>
      <c r="S14" s="42">
        <f t="shared" si="1"/>
        <v>0</v>
      </c>
      <c r="T14" s="42">
        <f t="shared" si="1"/>
        <v>1800000</v>
      </c>
      <c r="U14" s="42">
        <f t="shared" si="1"/>
        <v>382815</v>
      </c>
      <c r="V14" s="42">
        <f t="shared" si="1"/>
        <v>0</v>
      </c>
      <c r="W14" s="42">
        <f t="shared" si="1"/>
        <v>450000</v>
      </c>
      <c r="X14" s="42">
        <f t="shared" si="1"/>
        <v>0</v>
      </c>
      <c r="Y14" s="42">
        <f t="shared" si="1"/>
        <v>1350000</v>
      </c>
      <c r="Z14" s="42">
        <f t="shared" si="1"/>
        <v>382815</v>
      </c>
      <c r="AA14" s="42">
        <f t="shared" si="1"/>
        <v>30000</v>
      </c>
      <c r="AB14" s="42">
        <f t="shared" si="1"/>
        <v>0</v>
      </c>
      <c r="AC14" s="42">
        <f t="shared" si="1"/>
        <v>8507</v>
      </c>
    </row>
    <row r="15" spans="1:29" ht="138.75" customHeight="1">
      <c r="A15" s="96" t="s">
        <v>72</v>
      </c>
      <c r="B15" s="1">
        <v>1</v>
      </c>
      <c r="C15" s="2" t="s">
        <v>191</v>
      </c>
      <c r="D15" s="2"/>
      <c r="E15" s="3"/>
      <c r="F15" s="3" t="s">
        <v>4</v>
      </c>
      <c r="G15" s="3" t="s">
        <v>4</v>
      </c>
      <c r="H15" s="3" t="s">
        <v>4</v>
      </c>
      <c r="I15" s="3" t="s">
        <v>4</v>
      </c>
      <c r="J15" s="3"/>
      <c r="K15" s="3" t="s">
        <v>4</v>
      </c>
      <c r="L15" s="3" t="s">
        <v>4</v>
      </c>
      <c r="M15" s="2" t="s">
        <v>16</v>
      </c>
      <c r="N15" s="2" t="s">
        <v>37</v>
      </c>
      <c r="O15" s="24">
        <v>1142155.8</v>
      </c>
      <c r="P15" s="24">
        <f>+(45*5000)+(45*5000)</f>
        <v>450000</v>
      </c>
      <c r="Q15" s="24">
        <f aca="true" t="shared" si="2" ref="Q15:Q25">P15+O15</f>
        <v>1592155.8</v>
      </c>
      <c r="R15" s="24">
        <f>5000*45</f>
        <v>225000</v>
      </c>
      <c r="S15" s="24"/>
      <c r="T15" s="24">
        <f>AA15*45</f>
        <v>1367155.8</v>
      </c>
      <c r="U15" s="24"/>
      <c r="V15" s="24">
        <v>0</v>
      </c>
      <c r="W15" s="24">
        <v>225000</v>
      </c>
      <c r="X15" s="24">
        <v>0</v>
      </c>
      <c r="Y15" s="24">
        <v>1367155.8</v>
      </c>
      <c r="Z15" s="24">
        <v>0</v>
      </c>
      <c r="AA15" s="44">
        <f>Y15/45</f>
        <v>30381.24</v>
      </c>
      <c r="AB15" s="24">
        <v>0</v>
      </c>
      <c r="AC15" s="24">
        <v>0</v>
      </c>
    </row>
    <row r="16" spans="1:29" ht="245.25" customHeight="1">
      <c r="A16" s="96"/>
      <c r="B16" s="1">
        <v>2</v>
      </c>
      <c r="C16" s="2" t="s">
        <v>62</v>
      </c>
      <c r="D16" s="2"/>
      <c r="E16" s="2"/>
      <c r="F16" s="2"/>
      <c r="G16" s="3"/>
      <c r="H16" s="3"/>
      <c r="I16" s="3" t="s">
        <v>4</v>
      </c>
      <c r="J16" s="3" t="s">
        <v>4</v>
      </c>
      <c r="K16" s="3" t="s">
        <v>4</v>
      </c>
      <c r="L16" s="3" t="s">
        <v>4</v>
      </c>
      <c r="M16" s="2" t="s">
        <v>34</v>
      </c>
      <c r="N16" s="2" t="s">
        <v>37</v>
      </c>
      <c r="O16" s="24">
        <v>0</v>
      </c>
      <c r="P16" s="24">
        <v>1170000</v>
      </c>
      <c r="Q16" s="24">
        <f t="shared" si="2"/>
        <v>1170000</v>
      </c>
      <c r="R16" s="24">
        <f>5000*45</f>
        <v>225000</v>
      </c>
      <c r="S16" s="24"/>
      <c r="T16" s="24">
        <f>21000*45</f>
        <v>945000</v>
      </c>
      <c r="U16" s="24"/>
      <c r="V16" s="24">
        <v>0</v>
      </c>
      <c r="W16" s="24">
        <v>225000</v>
      </c>
      <c r="X16" s="24">
        <v>0</v>
      </c>
      <c r="Y16" s="24">
        <v>945000</v>
      </c>
      <c r="Z16" s="24">
        <v>0</v>
      </c>
      <c r="AA16" s="24">
        <v>21000</v>
      </c>
      <c r="AB16" s="24">
        <v>0</v>
      </c>
      <c r="AC16" s="24">
        <v>0</v>
      </c>
    </row>
    <row r="17" spans="1:30" ht="104.25" customHeight="1">
      <c r="A17" s="96"/>
      <c r="B17" s="1">
        <v>3</v>
      </c>
      <c r="C17" s="2" t="s">
        <v>192</v>
      </c>
      <c r="D17" s="2"/>
      <c r="E17" s="2"/>
      <c r="F17" s="2"/>
      <c r="G17" s="3"/>
      <c r="H17" s="3"/>
      <c r="I17" s="3" t="s">
        <v>4</v>
      </c>
      <c r="J17" s="3" t="s">
        <v>4</v>
      </c>
      <c r="K17" s="3"/>
      <c r="L17" s="3"/>
      <c r="M17" s="2" t="s">
        <v>18</v>
      </c>
      <c r="N17" s="2" t="s">
        <v>42</v>
      </c>
      <c r="O17" s="24">
        <v>0</v>
      </c>
      <c r="P17" s="24">
        <v>1867500</v>
      </c>
      <c r="Q17" s="24">
        <f t="shared" si="2"/>
        <v>1867500</v>
      </c>
      <c r="R17" s="24">
        <f>20000*45</f>
        <v>900000</v>
      </c>
      <c r="S17" s="24"/>
      <c r="T17" s="24">
        <f>21500*45</f>
        <v>967500</v>
      </c>
      <c r="U17" s="24"/>
      <c r="V17" s="24">
        <v>0</v>
      </c>
      <c r="W17" s="24">
        <v>900000</v>
      </c>
      <c r="X17" s="24">
        <v>0</v>
      </c>
      <c r="Y17" s="24">
        <v>967500</v>
      </c>
      <c r="Z17" s="24">
        <v>0</v>
      </c>
      <c r="AA17" s="24">
        <f>+Y17/45</f>
        <v>21500</v>
      </c>
      <c r="AB17" s="24">
        <v>0</v>
      </c>
      <c r="AC17" s="24">
        <v>0</v>
      </c>
      <c r="AD17" s="8"/>
    </row>
    <row r="18" spans="1:29" ht="51.75" customHeight="1">
      <c r="A18" s="96"/>
      <c r="B18" s="1">
        <v>4</v>
      </c>
      <c r="C18" s="2" t="s">
        <v>193</v>
      </c>
      <c r="D18" s="2"/>
      <c r="E18" s="2"/>
      <c r="F18" s="2"/>
      <c r="G18" s="3"/>
      <c r="H18" s="3"/>
      <c r="I18" s="3" t="s">
        <v>4</v>
      </c>
      <c r="J18" s="3" t="s">
        <v>4</v>
      </c>
      <c r="K18" s="3"/>
      <c r="L18" s="3"/>
      <c r="M18" s="2" t="s">
        <v>28</v>
      </c>
      <c r="N18" s="2" t="s">
        <v>24</v>
      </c>
      <c r="O18" s="24">
        <v>0</v>
      </c>
      <c r="P18" s="24">
        <v>450000</v>
      </c>
      <c r="Q18" s="24">
        <f t="shared" si="2"/>
        <v>450000</v>
      </c>
      <c r="R18" s="24">
        <f>10000*45</f>
        <v>450000</v>
      </c>
      <c r="S18" s="24"/>
      <c r="T18" s="24"/>
      <c r="U18" s="24"/>
      <c r="V18" s="24">
        <v>0</v>
      </c>
      <c r="W18" s="24">
        <f>Q18</f>
        <v>450000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</row>
    <row r="19" spans="1:29" ht="69" customHeight="1">
      <c r="A19" s="96"/>
      <c r="B19" s="1">
        <v>5</v>
      </c>
      <c r="C19" s="2" t="s">
        <v>194</v>
      </c>
      <c r="D19" s="2"/>
      <c r="E19" s="3"/>
      <c r="F19" s="3" t="s">
        <v>4</v>
      </c>
      <c r="G19" s="3" t="s">
        <v>4</v>
      </c>
      <c r="H19" s="3" t="s">
        <v>4</v>
      </c>
      <c r="I19" s="3"/>
      <c r="J19" s="3"/>
      <c r="K19" s="3"/>
      <c r="L19" s="3"/>
      <c r="M19" s="2" t="s">
        <v>18</v>
      </c>
      <c r="N19" s="2" t="s">
        <v>17</v>
      </c>
      <c r="O19" s="24">
        <v>450000</v>
      </c>
      <c r="P19" s="24">
        <v>445455</v>
      </c>
      <c r="Q19" s="24">
        <f t="shared" si="2"/>
        <v>895455</v>
      </c>
      <c r="R19" s="24"/>
      <c r="S19" s="24"/>
      <c r="T19" s="24">
        <f>AA19*45</f>
        <v>895455</v>
      </c>
      <c r="U19" s="24"/>
      <c r="V19" s="24">
        <v>0</v>
      </c>
      <c r="W19" s="24">
        <v>0</v>
      </c>
      <c r="X19" s="24">
        <v>0</v>
      </c>
      <c r="Y19" s="24">
        <f>AA19*45</f>
        <v>895455</v>
      </c>
      <c r="Z19" s="24">
        <v>0</v>
      </c>
      <c r="AA19" s="44">
        <f>10000+9899</f>
        <v>19899</v>
      </c>
      <c r="AB19" s="24">
        <v>0</v>
      </c>
      <c r="AC19" s="24">
        <v>0</v>
      </c>
    </row>
    <row r="20" spans="1:29" ht="38.25" customHeight="1">
      <c r="A20" s="96"/>
      <c r="B20" s="1">
        <v>6</v>
      </c>
      <c r="C20" s="2" t="s">
        <v>160</v>
      </c>
      <c r="D20" s="2"/>
      <c r="E20" s="2"/>
      <c r="F20" s="2"/>
      <c r="G20" s="3" t="s">
        <v>4</v>
      </c>
      <c r="H20" s="3"/>
      <c r="I20" s="3"/>
      <c r="J20" s="3"/>
      <c r="K20" s="3"/>
      <c r="L20" s="3"/>
      <c r="M20" s="2" t="s">
        <v>18</v>
      </c>
      <c r="N20" s="2" t="s">
        <v>22</v>
      </c>
      <c r="O20" s="24">
        <v>0</v>
      </c>
      <c r="P20" s="24">
        <v>450000</v>
      </c>
      <c r="Q20" s="24">
        <f t="shared" si="2"/>
        <v>450000</v>
      </c>
      <c r="R20" s="24">
        <f>8000*45</f>
        <v>360000</v>
      </c>
      <c r="S20" s="24"/>
      <c r="T20" s="24"/>
      <c r="U20" s="24"/>
      <c r="V20" s="24">
        <v>0</v>
      </c>
      <c r="W20" s="24">
        <f>Q20</f>
        <v>450000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</row>
    <row r="21" spans="1:29" ht="41.25" customHeight="1">
      <c r="A21" s="96"/>
      <c r="B21" s="1">
        <v>7</v>
      </c>
      <c r="C21" s="5" t="s">
        <v>63</v>
      </c>
      <c r="D21" s="2"/>
      <c r="E21" s="2"/>
      <c r="F21" s="2"/>
      <c r="G21" s="3" t="s">
        <v>4</v>
      </c>
      <c r="H21" s="3" t="s">
        <v>4</v>
      </c>
      <c r="I21" s="3" t="s">
        <v>4</v>
      </c>
      <c r="J21" s="3" t="s">
        <v>4</v>
      </c>
      <c r="K21" s="3"/>
      <c r="L21" s="3"/>
      <c r="M21" s="2" t="s">
        <v>18</v>
      </c>
      <c r="N21" s="2" t="s">
        <v>38</v>
      </c>
      <c r="O21" s="24">
        <v>0</v>
      </c>
      <c r="P21" s="24">
        <v>360000</v>
      </c>
      <c r="Q21" s="24">
        <f t="shared" si="2"/>
        <v>360000</v>
      </c>
      <c r="R21" s="24">
        <f>3000*45</f>
        <v>135000</v>
      </c>
      <c r="S21" s="24"/>
      <c r="T21" s="24">
        <f>5000*45</f>
        <v>225000</v>
      </c>
      <c r="U21" s="24"/>
      <c r="V21" s="24">
        <v>0</v>
      </c>
      <c r="W21" s="24">
        <v>135000</v>
      </c>
      <c r="X21" s="24">
        <v>0</v>
      </c>
      <c r="Y21" s="24">
        <f>AA21*45</f>
        <v>225000</v>
      </c>
      <c r="Z21" s="24">
        <v>0</v>
      </c>
      <c r="AA21" s="24">
        <v>5000</v>
      </c>
      <c r="AB21" s="24">
        <v>0</v>
      </c>
      <c r="AC21" s="24">
        <v>0</v>
      </c>
    </row>
    <row r="22" spans="1:29" ht="42.75" customHeight="1">
      <c r="A22" s="96"/>
      <c r="B22" s="1">
        <v>8</v>
      </c>
      <c r="C22" s="2" t="s">
        <v>41</v>
      </c>
      <c r="D22" s="2"/>
      <c r="E22" s="2"/>
      <c r="F22" s="2"/>
      <c r="G22" s="3"/>
      <c r="H22" s="3" t="s">
        <v>4</v>
      </c>
      <c r="I22" s="3" t="s">
        <v>4</v>
      </c>
      <c r="J22" s="3"/>
      <c r="K22" s="3"/>
      <c r="L22" s="3"/>
      <c r="M22" s="2" t="s">
        <v>18</v>
      </c>
      <c r="N22" s="2" t="s">
        <v>196</v>
      </c>
      <c r="O22" s="24"/>
      <c r="P22" s="24">
        <v>1800000</v>
      </c>
      <c r="Q22" s="24">
        <f t="shared" si="2"/>
        <v>1800000</v>
      </c>
      <c r="R22" s="24"/>
      <c r="S22" s="24"/>
      <c r="T22" s="24"/>
      <c r="U22" s="24"/>
      <c r="V22" s="24">
        <v>0</v>
      </c>
      <c r="W22" s="24">
        <f>Q22</f>
        <v>1800000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</row>
    <row r="23" spans="1:29" ht="42.75" customHeight="1">
      <c r="A23" s="96"/>
      <c r="B23" s="1">
        <v>9</v>
      </c>
      <c r="C23" s="2" t="s">
        <v>131</v>
      </c>
      <c r="D23" s="2"/>
      <c r="E23" s="3"/>
      <c r="F23" s="3" t="s">
        <v>4</v>
      </c>
      <c r="G23" s="3" t="s">
        <v>4</v>
      </c>
      <c r="H23" s="3" t="s">
        <v>4</v>
      </c>
      <c r="I23" s="3"/>
      <c r="J23" s="3"/>
      <c r="K23" s="3"/>
      <c r="L23" s="3"/>
      <c r="M23" s="2" t="s">
        <v>18</v>
      </c>
      <c r="N23" s="2" t="s">
        <v>39</v>
      </c>
      <c r="O23" s="24">
        <v>225000</v>
      </c>
      <c r="P23" s="24">
        <v>450000</v>
      </c>
      <c r="Q23" s="24">
        <f t="shared" si="2"/>
        <v>675000</v>
      </c>
      <c r="R23" s="24">
        <f>10000*45</f>
        <v>450000</v>
      </c>
      <c r="S23" s="24"/>
      <c r="T23" s="24">
        <f>AA23*45</f>
        <v>225000</v>
      </c>
      <c r="U23" s="24"/>
      <c r="V23" s="24">
        <v>0</v>
      </c>
      <c r="W23" s="24">
        <v>450000</v>
      </c>
      <c r="X23" s="24"/>
      <c r="Y23" s="24">
        <v>225000</v>
      </c>
      <c r="Z23" s="24">
        <v>0</v>
      </c>
      <c r="AA23" s="44">
        <f>+Y23/45</f>
        <v>5000</v>
      </c>
      <c r="AB23" s="24">
        <v>0</v>
      </c>
      <c r="AC23" s="24">
        <v>0</v>
      </c>
    </row>
    <row r="24" spans="1:29" ht="77.25" customHeight="1">
      <c r="A24" s="96"/>
      <c r="B24" s="1">
        <v>10</v>
      </c>
      <c r="C24" s="6" t="s">
        <v>188</v>
      </c>
      <c r="D24" s="6"/>
      <c r="E24" s="6"/>
      <c r="F24" s="7" t="s">
        <v>4</v>
      </c>
      <c r="G24" s="7" t="s">
        <v>4</v>
      </c>
      <c r="H24" s="7" t="s">
        <v>4</v>
      </c>
      <c r="I24" s="7"/>
      <c r="J24" s="7"/>
      <c r="K24" s="3"/>
      <c r="L24" s="3"/>
      <c r="M24" s="2" t="s">
        <v>187</v>
      </c>
      <c r="N24" s="2" t="s">
        <v>17</v>
      </c>
      <c r="O24" s="24">
        <v>900000</v>
      </c>
      <c r="P24" s="24">
        <v>1569105</v>
      </c>
      <c r="Q24" s="24">
        <f t="shared" si="2"/>
        <v>2469105</v>
      </c>
      <c r="R24" s="24"/>
      <c r="S24" s="24"/>
      <c r="T24" s="24">
        <f>41869*45</f>
        <v>1884105</v>
      </c>
      <c r="U24" s="24"/>
      <c r="V24" s="24">
        <v>0</v>
      </c>
      <c r="W24" s="24">
        <v>0</v>
      </c>
      <c r="X24" s="24">
        <v>0</v>
      </c>
      <c r="Y24" s="24">
        <f>Q24</f>
        <v>2469105</v>
      </c>
      <c r="Z24" s="24">
        <v>0</v>
      </c>
      <c r="AA24" s="24">
        <v>0</v>
      </c>
      <c r="AB24" s="24">
        <v>54869</v>
      </c>
      <c r="AC24" s="24">
        <v>0</v>
      </c>
    </row>
    <row r="25" spans="1:29" ht="96" customHeight="1">
      <c r="A25" s="96"/>
      <c r="B25" s="1">
        <v>11</v>
      </c>
      <c r="C25" s="6" t="s">
        <v>189</v>
      </c>
      <c r="D25" s="6"/>
      <c r="E25" s="6"/>
      <c r="F25" s="7" t="s">
        <v>4</v>
      </c>
      <c r="G25" s="7" t="s">
        <v>4</v>
      </c>
      <c r="H25" s="7" t="s">
        <v>4</v>
      </c>
      <c r="I25" s="7"/>
      <c r="J25" s="7"/>
      <c r="K25" s="3"/>
      <c r="L25" s="3"/>
      <c r="M25" s="2" t="s">
        <v>190</v>
      </c>
      <c r="N25" s="2" t="s">
        <v>17</v>
      </c>
      <c r="O25" s="24">
        <v>900000</v>
      </c>
      <c r="P25" s="24">
        <v>1986660</v>
      </c>
      <c r="Q25" s="24">
        <f t="shared" si="2"/>
        <v>2886660</v>
      </c>
      <c r="R25" s="24"/>
      <c r="S25" s="24"/>
      <c r="T25" s="24">
        <f>57939*45</f>
        <v>2607255</v>
      </c>
      <c r="U25" s="24"/>
      <c r="V25" s="24">
        <v>0</v>
      </c>
      <c r="W25" s="24">
        <v>0</v>
      </c>
      <c r="X25" s="24">
        <v>0</v>
      </c>
      <c r="Y25" s="24">
        <f>Q25</f>
        <v>2886660</v>
      </c>
      <c r="Z25" s="24">
        <v>0</v>
      </c>
      <c r="AA25" s="24">
        <v>0</v>
      </c>
      <c r="AB25" s="24">
        <v>64148</v>
      </c>
      <c r="AC25" s="24">
        <v>0</v>
      </c>
    </row>
    <row r="26" spans="1:29" s="19" customFormat="1" ht="15">
      <c r="A26" s="39"/>
      <c r="B26" s="39"/>
      <c r="C26" s="97" t="s">
        <v>14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43">
        <f>+SUM(O15:O25)</f>
        <v>3617155.8</v>
      </c>
      <c r="P26" s="43">
        <f aca="true" t="shared" si="3" ref="P26:AB26">+SUM(P15:P25)</f>
        <v>10998720</v>
      </c>
      <c r="Q26" s="43">
        <f t="shared" si="3"/>
        <v>14615875.8</v>
      </c>
      <c r="R26" s="43">
        <f t="shared" si="3"/>
        <v>2745000</v>
      </c>
      <c r="S26" s="43">
        <f t="shared" si="3"/>
        <v>0</v>
      </c>
      <c r="T26" s="43">
        <f t="shared" si="3"/>
        <v>9116470.8</v>
      </c>
      <c r="U26" s="43">
        <f t="shared" si="3"/>
        <v>0</v>
      </c>
      <c r="V26" s="43">
        <f t="shared" si="3"/>
        <v>0</v>
      </c>
      <c r="W26" s="43">
        <f t="shared" si="3"/>
        <v>4635000</v>
      </c>
      <c r="X26" s="43">
        <f t="shared" si="3"/>
        <v>0</v>
      </c>
      <c r="Y26" s="43">
        <f t="shared" si="3"/>
        <v>9980875.8</v>
      </c>
      <c r="Z26" s="43">
        <f t="shared" si="3"/>
        <v>0</v>
      </c>
      <c r="AA26" s="43">
        <f t="shared" si="3"/>
        <v>102780.24</v>
      </c>
      <c r="AB26" s="43">
        <f t="shared" si="3"/>
        <v>119017</v>
      </c>
      <c r="AC26" s="43">
        <f>AC25+AC24+AC23+AC22+AC21+AC20+AC19+AC16+AC15</f>
        <v>0</v>
      </c>
    </row>
    <row r="27" spans="1:42" ht="75" customHeight="1">
      <c r="A27" s="96" t="s">
        <v>180</v>
      </c>
      <c r="B27" s="1">
        <v>1</v>
      </c>
      <c r="C27" s="2" t="s">
        <v>195</v>
      </c>
      <c r="D27" s="2"/>
      <c r="E27" s="2"/>
      <c r="F27" s="2"/>
      <c r="G27" s="3"/>
      <c r="H27" s="3"/>
      <c r="I27" s="3" t="s">
        <v>4</v>
      </c>
      <c r="J27" s="3" t="s">
        <v>4</v>
      </c>
      <c r="K27" s="3"/>
      <c r="L27" s="3"/>
      <c r="M27" s="2" t="s">
        <v>18</v>
      </c>
      <c r="N27" s="2" t="s">
        <v>40</v>
      </c>
      <c r="O27" s="24">
        <f>AA27*45</f>
        <v>233422.65</v>
      </c>
      <c r="P27" s="24">
        <v>1102500</v>
      </c>
      <c r="Q27" s="24">
        <f>P27+O27</f>
        <v>1335922.65</v>
      </c>
      <c r="R27" s="2">
        <f>24500*45</f>
        <v>1102500</v>
      </c>
      <c r="S27" s="2"/>
      <c r="T27" s="2">
        <f>AA27*45</f>
        <v>233422.65</v>
      </c>
      <c r="U27" s="2"/>
      <c r="V27" s="24">
        <v>0</v>
      </c>
      <c r="W27" s="24">
        <f>P27</f>
        <v>1102500</v>
      </c>
      <c r="X27" s="24">
        <v>0</v>
      </c>
      <c r="Y27" s="24">
        <f>O27</f>
        <v>233422.65</v>
      </c>
      <c r="Z27" s="24">
        <v>0</v>
      </c>
      <c r="AA27" s="24">
        <v>5187.17</v>
      </c>
      <c r="AB27" s="24">
        <v>0</v>
      </c>
      <c r="AC27" s="24">
        <v>0</v>
      </c>
      <c r="AD27" s="66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80.25" customHeight="1" hidden="1">
      <c r="A28" s="96"/>
      <c r="B28" s="1">
        <v>2</v>
      </c>
      <c r="C28" s="2" t="s">
        <v>29</v>
      </c>
      <c r="D28" s="2"/>
      <c r="E28" s="2"/>
      <c r="F28" s="3" t="s">
        <v>4</v>
      </c>
      <c r="G28" s="3"/>
      <c r="H28" s="3"/>
      <c r="I28" s="3"/>
      <c r="J28" s="3"/>
      <c r="K28" s="3"/>
      <c r="L28" s="3"/>
      <c r="M28" s="2" t="s">
        <v>18</v>
      </c>
      <c r="N28" s="2" t="s">
        <v>45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/>
      <c r="W28" s="24"/>
      <c r="X28" s="24"/>
      <c r="Y28" s="24"/>
      <c r="Z28" s="24">
        <v>0</v>
      </c>
      <c r="AA28" s="24">
        <v>0</v>
      </c>
      <c r="AB28" s="24">
        <v>0</v>
      </c>
      <c r="AC28" s="24">
        <v>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57.75" customHeight="1">
      <c r="A29" s="96"/>
      <c r="B29" s="1">
        <v>2</v>
      </c>
      <c r="C29" s="2" t="s">
        <v>61</v>
      </c>
      <c r="D29" s="2"/>
      <c r="E29" s="2"/>
      <c r="F29" s="2"/>
      <c r="G29" s="3" t="s">
        <v>4</v>
      </c>
      <c r="H29" s="3" t="s">
        <v>4</v>
      </c>
      <c r="I29" s="3"/>
      <c r="J29" s="3"/>
      <c r="K29" s="3"/>
      <c r="L29" s="3"/>
      <c r="M29" s="2" t="s">
        <v>200</v>
      </c>
      <c r="N29" s="2" t="s">
        <v>45</v>
      </c>
      <c r="O29" s="24">
        <v>0</v>
      </c>
      <c r="P29" s="24">
        <f>675000+225000</f>
        <v>900000</v>
      </c>
      <c r="Q29" s="24">
        <f>+P29+O29</f>
        <v>900000</v>
      </c>
      <c r="R29" s="2">
        <f>5000*45</f>
        <v>225000</v>
      </c>
      <c r="S29" s="2"/>
      <c r="T29" s="2">
        <f>5000*45</f>
        <v>225000</v>
      </c>
      <c r="U29" s="2"/>
      <c r="V29" s="24">
        <v>0</v>
      </c>
      <c r="W29" s="24">
        <v>675000</v>
      </c>
      <c r="X29" s="24">
        <v>0</v>
      </c>
      <c r="Y29" s="24">
        <v>225000</v>
      </c>
      <c r="Z29" s="24">
        <v>0</v>
      </c>
      <c r="AA29" s="44">
        <v>5000</v>
      </c>
      <c r="AB29" s="24">
        <v>0</v>
      </c>
      <c r="AC29" s="24">
        <v>0</v>
      </c>
      <c r="AD29" s="16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32.25" customHeight="1">
      <c r="A30" s="96"/>
      <c r="B30" s="1">
        <v>3</v>
      </c>
      <c r="C30" s="2" t="s">
        <v>23</v>
      </c>
      <c r="D30" s="2"/>
      <c r="E30" s="2"/>
      <c r="F30" s="2"/>
      <c r="G30" s="3" t="s">
        <v>4</v>
      </c>
      <c r="H30" s="3" t="s">
        <v>4</v>
      </c>
      <c r="I30" s="3"/>
      <c r="J30" s="3"/>
      <c r="K30" s="2"/>
      <c r="L30" s="2"/>
      <c r="M30" s="2" t="s">
        <v>18</v>
      </c>
      <c r="N30" s="2" t="s">
        <v>22</v>
      </c>
      <c r="O30" s="24">
        <v>0</v>
      </c>
      <c r="P30" s="24">
        <v>787500</v>
      </c>
      <c r="Q30" s="24">
        <f>+P30+O30</f>
        <v>787500</v>
      </c>
      <c r="R30" s="2"/>
      <c r="S30" s="2"/>
      <c r="T30" s="2">
        <f>17500*45</f>
        <v>787500</v>
      </c>
      <c r="U30" s="2"/>
      <c r="V30" s="24">
        <v>0</v>
      </c>
      <c r="W30" s="24">
        <v>0</v>
      </c>
      <c r="X30" s="24">
        <v>0</v>
      </c>
      <c r="Y30" s="24">
        <f>Q30</f>
        <v>787500</v>
      </c>
      <c r="Z30" s="24">
        <v>0</v>
      </c>
      <c r="AA30" s="44">
        <v>17500</v>
      </c>
      <c r="AB30" s="24">
        <v>0</v>
      </c>
      <c r="AC30" s="24">
        <v>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29" s="19" customFormat="1" ht="15">
      <c r="A31" s="39"/>
      <c r="B31" s="39"/>
      <c r="C31" s="97" t="s">
        <v>14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43">
        <f>SUM(O27:O30)</f>
        <v>233422.65</v>
      </c>
      <c r="P31" s="43">
        <f>SUM(P27:P30)</f>
        <v>2790000</v>
      </c>
      <c r="Q31" s="43">
        <f>SUM(Q27:Q30)</f>
        <v>3023422.65</v>
      </c>
      <c r="R31" s="67">
        <f>SUM(R27:R30)</f>
        <v>1327500</v>
      </c>
      <c r="S31" s="67"/>
      <c r="T31" s="67">
        <f>SUM(T27:T30)</f>
        <v>1245922.65</v>
      </c>
      <c r="U31" s="67"/>
      <c r="V31" s="43">
        <f aca="true" t="shared" si="4" ref="V31:AB31">SUM(V27:V30)</f>
        <v>0</v>
      </c>
      <c r="W31" s="43">
        <f t="shared" si="4"/>
        <v>1777500</v>
      </c>
      <c r="X31" s="43">
        <f t="shared" si="4"/>
        <v>0</v>
      </c>
      <c r="Y31" s="43">
        <f t="shared" si="4"/>
        <v>1245922.65</v>
      </c>
      <c r="Z31" s="43">
        <f t="shared" si="4"/>
        <v>0</v>
      </c>
      <c r="AA31" s="43">
        <f t="shared" si="4"/>
        <v>27687.17</v>
      </c>
      <c r="AB31" s="43">
        <f t="shared" si="4"/>
        <v>0</v>
      </c>
      <c r="AC31" s="47">
        <f>AC30+AC29+AC27</f>
        <v>0</v>
      </c>
    </row>
    <row r="32" spans="1:30" s="9" customFormat="1" ht="41.25" customHeight="1">
      <c r="A32" s="127" t="s">
        <v>166</v>
      </c>
      <c r="B32" s="59" t="s">
        <v>108</v>
      </c>
      <c r="C32" s="6" t="s">
        <v>54</v>
      </c>
      <c r="D32" s="6"/>
      <c r="E32" s="6"/>
      <c r="F32" s="6"/>
      <c r="G32" s="7" t="s">
        <v>4</v>
      </c>
      <c r="H32" s="7" t="s">
        <v>4</v>
      </c>
      <c r="I32" s="7" t="s">
        <v>4</v>
      </c>
      <c r="J32" s="7" t="s">
        <v>4</v>
      </c>
      <c r="K32" s="7"/>
      <c r="L32" s="7"/>
      <c r="M32" s="6" t="s">
        <v>52</v>
      </c>
      <c r="N32" s="6" t="s">
        <v>167</v>
      </c>
      <c r="O32" s="46">
        <v>0</v>
      </c>
      <c r="P32" s="46">
        <f aca="true" t="shared" si="5" ref="P32:P66">Q32</f>
        <v>5113575</v>
      </c>
      <c r="Q32" s="46">
        <f aca="true" t="shared" si="6" ref="Q32:Q41">R32+S32+T32+U32+Z32</f>
        <v>5113575</v>
      </c>
      <c r="R32" s="5"/>
      <c r="S32" s="5">
        <f>113635*45</f>
        <v>5113575</v>
      </c>
      <c r="T32" s="5"/>
      <c r="U32" s="5"/>
      <c r="V32" s="44">
        <v>0</v>
      </c>
      <c r="W32" s="44">
        <v>0</v>
      </c>
      <c r="X32" s="46">
        <v>5113575</v>
      </c>
      <c r="Y32" s="44">
        <v>0</v>
      </c>
      <c r="Z32" s="44">
        <v>0</v>
      </c>
      <c r="AA32" s="44">
        <v>0</v>
      </c>
      <c r="AB32" s="24">
        <v>0</v>
      </c>
      <c r="AC32" s="24">
        <v>0</v>
      </c>
      <c r="AD32" s="65"/>
    </row>
    <row r="33" spans="1:29" s="9" customFormat="1" ht="31.5" customHeight="1">
      <c r="A33" s="128"/>
      <c r="B33" s="59" t="s">
        <v>109</v>
      </c>
      <c r="C33" s="6" t="s">
        <v>19</v>
      </c>
      <c r="D33" s="6"/>
      <c r="E33" s="6"/>
      <c r="F33" s="6"/>
      <c r="G33" s="7" t="s">
        <v>4</v>
      </c>
      <c r="H33" s="7" t="s">
        <v>4</v>
      </c>
      <c r="I33" s="7" t="s">
        <v>4</v>
      </c>
      <c r="J33" s="7" t="s">
        <v>4</v>
      </c>
      <c r="K33" s="7"/>
      <c r="L33" s="7"/>
      <c r="M33" s="6" t="s">
        <v>53</v>
      </c>
      <c r="N33" s="6" t="s">
        <v>168</v>
      </c>
      <c r="O33" s="46">
        <v>0</v>
      </c>
      <c r="P33" s="46">
        <f t="shared" si="5"/>
        <v>13365000</v>
      </c>
      <c r="Q33" s="46">
        <f t="shared" si="6"/>
        <v>13365000</v>
      </c>
      <c r="R33" s="5"/>
      <c r="S33" s="5">
        <f>297000*45</f>
        <v>13365000</v>
      </c>
      <c r="T33" s="5"/>
      <c r="U33" s="5"/>
      <c r="V33" s="44">
        <v>0</v>
      </c>
      <c r="W33" s="44">
        <v>0</v>
      </c>
      <c r="X33" s="46">
        <v>13365000</v>
      </c>
      <c r="Y33" s="44">
        <v>0</v>
      </c>
      <c r="Z33" s="44">
        <v>0</v>
      </c>
      <c r="AA33" s="44">
        <v>0</v>
      </c>
      <c r="AB33" s="24">
        <v>0</v>
      </c>
      <c r="AC33" s="24">
        <v>0</v>
      </c>
    </row>
    <row r="34" spans="1:29" s="9" customFormat="1" ht="41.25" customHeight="1">
      <c r="A34" s="128"/>
      <c r="B34" s="59" t="s">
        <v>110</v>
      </c>
      <c r="C34" s="6" t="s">
        <v>55</v>
      </c>
      <c r="D34" s="6"/>
      <c r="E34" s="6"/>
      <c r="F34" s="6"/>
      <c r="G34" s="7" t="s">
        <v>4</v>
      </c>
      <c r="H34" s="7"/>
      <c r="I34" s="7"/>
      <c r="J34" s="7"/>
      <c r="K34" s="7"/>
      <c r="L34" s="7"/>
      <c r="M34" s="6" t="s">
        <v>52</v>
      </c>
      <c r="N34" s="6" t="s">
        <v>169</v>
      </c>
      <c r="O34" s="46">
        <v>0</v>
      </c>
      <c r="P34" s="46">
        <f t="shared" si="5"/>
        <v>3068100</v>
      </c>
      <c r="Q34" s="46">
        <f t="shared" si="6"/>
        <v>3068100</v>
      </c>
      <c r="R34" s="5"/>
      <c r="S34" s="5">
        <f>68180*45</f>
        <v>3068100</v>
      </c>
      <c r="T34" s="5"/>
      <c r="U34" s="5"/>
      <c r="V34" s="44">
        <v>0</v>
      </c>
      <c r="W34" s="44">
        <v>0</v>
      </c>
      <c r="X34" s="46">
        <v>3068100</v>
      </c>
      <c r="Y34" s="44">
        <v>0</v>
      </c>
      <c r="Z34" s="44">
        <v>0</v>
      </c>
      <c r="AA34" s="44"/>
      <c r="AB34" s="24">
        <v>0</v>
      </c>
      <c r="AC34" s="24">
        <v>0</v>
      </c>
    </row>
    <row r="35" spans="1:29" s="9" customFormat="1" ht="30" customHeight="1">
      <c r="A35" s="128"/>
      <c r="B35" s="59" t="s">
        <v>199</v>
      </c>
      <c r="C35" s="6" t="s">
        <v>56</v>
      </c>
      <c r="D35" s="6"/>
      <c r="E35" s="6"/>
      <c r="F35" s="6"/>
      <c r="G35" s="7"/>
      <c r="H35" s="7"/>
      <c r="I35" s="7"/>
      <c r="J35" s="7"/>
      <c r="K35" s="7"/>
      <c r="L35" s="7"/>
      <c r="M35" s="6" t="s">
        <v>57</v>
      </c>
      <c r="N35" s="6" t="s">
        <v>170</v>
      </c>
      <c r="O35" s="46">
        <v>0</v>
      </c>
      <c r="P35" s="46">
        <f t="shared" si="5"/>
        <v>1559250</v>
      </c>
      <c r="Q35" s="46">
        <f t="shared" si="6"/>
        <v>1559250</v>
      </c>
      <c r="R35" s="5"/>
      <c r="S35" s="5">
        <f>34650*45</f>
        <v>1559250</v>
      </c>
      <c r="T35" s="5"/>
      <c r="U35" s="5"/>
      <c r="V35" s="44">
        <v>0</v>
      </c>
      <c r="W35" s="44">
        <v>0</v>
      </c>
      <c r="X35" s="46">
        <v>1559250</v>
      </c>
      <c r="Y35" s="44">
        <v>0</v>
      </c>
      <c r="Z35" s="44">
        <v>0</v>
      </c>
      <c r="AA35" s="44">
        <v>0</v>
      </c>
      <c r="AB35" s="24">
        <v>0</v>
      </c>
      <c r="AC35" s="24">
        <v>0</v>
      </c>
    </row>
    <row r="36" spans="1:30" s="9" customFormat="1" ht="49.5" customHeight="1">
      <c r="A36" s="128"/>
      <c r="B36" s="59" t="s">
        <v>111</v>
      </c>
      <c r="C36" s="6" t="s">
        <v>58</v>
      </c>
      <c r="D36" s="6"/>
      <c r="E36" s="6"/>
      <c r="F36" s="6"/>
      <c r="G36" s="7" t="s">
        <v>4</v>
      </c>
      <c r="H36" s="7" t="s">
        <v>4</v>
      </c>
      <c r="I36" s="7" t="s">
        <v>4</v>
      </c>
      <c r="J36" s="7" t="s">
        <v>4</v>
      </c>
      <c r="K36" s="7"/>
      <c r="L36" s="7"/>
      <c r="M36" s="6" t="s">
        <v>197</v>
      </c>
      <c r="N36" s="6" t="s">
        <v>171</v>
      </c>
      <c r="O36" s="46">
        <v>0</v>
      </c>
      <c r="P36" s="46">
        <f t="shared" si="5"/>
        <v>10453050</v>
      </c>
      <c r="Q36" s="46">
        <f t="shared" si="6"/>
        <v>10453050</v>
      </c>
      <c r="R36" s="5"/>
      <c r="S36" s="5">
        <f>232290*45</f>
        <v>10453050</v>
      </c>
      <c r="T36" s="5"/>
      <c r="U36" s="5"/>
      <c r="V36" s="44">
        <v>0</v>
      </c>
      <c r="W36" s="44">
        <v>0</v>
      </c>
      <c r="X36" s="46">
        <v>10453050</v>
      </c>
      <c r="Y36" s="44">
        <v>0</v>
      </c>
      <c r="Z36" s="44">
        <v>0</v>
      </c>
      <c r="AA36" s="44">
        <v>0</v>
      </c>
      <c r="AB36" s="24">
        <v>0</v>
      </c>
      <c r="AC36" s="24">
        <v>0</v>
      </c>
      <c r="AD36" s="4"/>
    </row>
    <row r="37" spans="1:29" s="9" customFormat="1" ht="47.25" customHeight="1">
      <c r="A37" s="128"/>
      <c r="B37" s="59" t="s">
        <v>112</v>
      </c>
      <c r="C37" s="6" t="s">
        <v>20</v>
      </c>
      <c r="D37" s="6"/>
      <c r="E37" s="6"/>
      <c r="F37" s="6"/>
      <c r="G37" s="7" t="s">
        <v>4</v>
      </c>
      <c r="H37" s="7" t="s">
        <v>4</v>
      </c>
      <c r="I37" s="7" t="s">
        <v>4</v>
      </c>
      <c r="J37" s="7" t="s">
        <v>4</v>
      </c>
      <c r="K37" s="7"/>
      <c r="L37" s="7"/>
      <c r="M37" s="6" t="s">
        <v>57</v>
      </c>
      <c r="N37" s="6" t="s">
        <v>172</v>
      </c>
      <c r="O37" s="46">
        <v>0</v>
      </c>
      <c r="P37" s="46">
        <f t="shared" si="5"/>
        <v>920250</v>
      </c>
      <c r="Q37" s="46">
        <f t="shared" si="6"/>
        <v>920250</v>
      </c>
      <c r="R37" s="5"/>
      <c r="S37" s="5">
        <f>20450*45</f>
        <v>920250</v>
      </c>
      <c r="T37" s="5"/>
      <c r="U37" s="5"/>
      <c r="V37" s="44">
        <v>0</v>
      </c>
      <c r="W37" s="44">
        <v>0</v>
      </c>
      <c r="X37" s="46">
        <v>920250</v>
      </c>
      <c r="Y37" s="44">
        <v>0</v>
      </c>
      <c r="Z37" s="44">
        <v>0</v>
      </c>
      <c r="AA37" s="44">
        <v>0</v>
      </c>
      <c r="AB37" s="24">
        <v>0</v>
      </c>
      <c r="AC37" s="24">
        <v>0</v>
      </c>
    </row>
    <row r="38" spans="1:30" s="9" customFormat="1" ht="42" customHeight="1">
      <c r="A38" s="128"/>
      <c r="B38" s="59" t="s">
        <v>113</v>
      </c>
      <c r="C38" s="6" t="s">
        <v>59</v>
      </c>
      <c r="D38" s="6"/>
      <c r="E38" s="6"/>
      <c r="F38" s="6"/>
      <c r="G38" s="7"/>
      <c r="H38" s="7" t="s">
        <v>4</v>
      </c>
      <c r="I38" s="7" t="s">
        <v>4</v>
      </c>
      <c r="J38" s="7" t="s">
        <v>4</v>
      </c>
      <c r="K38" s="7"/>
      <c r="L38" s="7"/>
      <c r="M38" s="6" t="s">
        <v>57</v>
      </c>
      <c r="N38" s="6" t="s">
        <v>173</v>
      </c>
      <c r="O38" s="46">
        <v>0</v>
      </c>
      <c r="P38" s="46">
        <f t="shared" si="5"/>
        <v>5727240</v>
      </c>
      <c r="Q38" s="46">
        <f t="shared" si="6"/>
        <v>5727240</v>
      </c>
      <c r="R38" s="5"/>
      <c r="S38" s="5">
        <f>127272*45</f>
        <v>5727240</v>
      </c>
      <c r="T38" s="5"/>
      <c r="U38" s="5"/>
      <c r="V38" s="44">
        <v>0</v>
      </c>
      <c r="W38" s="44">
        <v>0</v>
      </c>
      <c r="X38" s="46">
        <v>5727240</v>
      </c>
      <c r="Y38" s="44">
        <v>0</v>
      </c>
      <c r="Z38" s="44">
        <v>0</v>
      </c>
      <c r="AA38" s="44">
        <v>0</v>
      </c>
      <c r="AB38" s="24">
        <v>0</v>
      </c>
      <c r="AC38" s="24">
        <v>0</v>
      </c>
      <c r="AD38" s="4"/>
    </row>
    <row r="39" spans="1:29" s="9" customFormat="1" ht="48.75" customHeight="1">
      <c r="A39" s="129"/>
      <c r="B39" s="59" t="s">
        <v>114</v>
      </c>
      <c r="C39" s="6" t="s">
        <v>60</v>
      </c>
      <c r="D39" s="6"/>
      <c r="E39" s="6"/>
      <c r="F39" s="6"/>
      <c r="G39" s="7"/>
      <c r="H39" s="7"/>
      <c r="I39" s="7"/>
      <c r="J39" s="7"/>
      <c r="K39" s="7"/>
      <c r="L39" s="7"/>
      <c r="M39" s="6" t="s">
        <v>57</v>
      </c>
      <c r="N39" s="6" t="s">
        <v>168</v>
      </c>
      <c r="O39" s="46">
        <v>0</v>
      </c>
      <c r="P39" s="46">
        <f t="shared" si="5"/>
        <v>2861640</v>
      </c>
      <c r="Q39" s="46">
        <f t="shared" si="6"/>
        <v>2861640</v>
      </c>
      <c r="R39" s="5"/>
      <c r="S39" s="5">
        <f>63592*45</f>
        <v>2861640</v>
      </c>
      <c r="T39" s="5"/>
      <c r="U39" s="5"/>
      <c r="V39" s="44">
        <v>0</v>
      </c>
      <c r="W39" s="44">
        <v>0</v>
      </c>
      <c r="X39" s="46">
        <v>2861640</v>
      </c>
      <c r="Y39" s="44">
        <v>0</v>
      </c>
      <c r="Z39" s="44">
        <v>0</v>
      </c>
      <c r="AA39" s="44">
        <v>0</v>
      </c>
      <c r="AB39" s="24">
        <v>0</v>
      </c>
      <c r="AC39" s="24">
        <v>0</v>
      </c>
    </row>
    <row r="40" spans="1:31" s="10" customFormat="1" ht="45" customHeight="1">
      <c r="A40" s="76" t="s">
        <v>181</v>
      </c>
      <c r="B40" s="23" t="s">
        <v>99</v>
      </c>
      <c r="C40" s="2" t="s">
        <v>82</v>
      </c>
      <c r="D40" s="14"/>
      <c r="E40" s="14"/>
      <c r="F40" s="14"/>
      <c r="G40" s="5"/>
      <c r="H40" s="14" t="s">
        <v>4</v>
      </c>
      <c r="I40" s="14"/>
      <c r="J40" s="14" t="s">
        <v>176</v>
      </c>
      <c r="K40" s="14"/>
      <c r="L40" s="5" t="s">
        <v>65</v>
      </c>
      <c r="M40" s="2" t="s">
        <v>83</v>
      </c>
      <c r="N40" s="5" t="s">
        <v>84</v>
      </c>
      <c r="O40" s="46">
        <v>0</v>
      </c>
      <c r="P40" s="44">
        <f t="shared" si="5"/>
        <v>450000</v>
      </c>
      <c r="Q40" s="44">
        <f t="shared" si="6"/>
        <v>450000</v>
      </c>
      <c r="R40" s="5"/>
      <c r="S40" s="5"/>
      <c r="T40" s="5">
        <f>10000*45</f>
        <v>450000</v>
      </c>
      <c r="U40" s="5"/>
      <c r="V40" s="44">
        <v>0</v>
      </c>
      <c r="W40" s="44">
        <v>0</v>
      </c>
      <c r="X40" s="44">
        <v>0</v>
      </c>
      <c r="Y40" s="44">
        <v>450000</v>
      </c>
      <c r="Z40" s="44">
        <v>0</v>
      </c>
      <c r="AA40" s="44">
        <v>0</v>
      </c>
      <c r="AB40" s="44">
        <v>10000</v>
      </c>
      <c r="AC40" s="24">
        <v>0</v>
      </c>
      <c r="AD40" s="24"/>
      <c r="AE40" s="12"/>
    </row>
    <row r="41" spans="1:30" s="10" customFormat="1" ht="116.25" customHeight="1">
      <c r="A41" s="77"/>
      <c r="B41" s="23" t="s">
        <v>100</v>
      </c>
      <c r="C41" s="2" t="s">
        <v>81</v>
      </c>
      <c r="D41" s="14"/>
      <c r="E41" s="14"/>
      <c r="F41" s="14"/>
      <c r="G41" s="5"/>
      <c r="H41" s="14" t="s">
        <v>4</v>
      </c>
      <c r="I41" s="14"/>
      <c r="J41" s="14" t="s">
        <v>176</v>
      </c>
      <c r="K41" s="14"/>
      <c r="L41" s="5"/>
      <c r="M41" s="2" t="s">
        <v>83</v>
      </c>
      <c r="N41" s="5" t="s">
        <v>84</v>
      </c>
      <c r="O41" s="46">
        <v>0</v>
      </c>
      <c r="P41" s="44">
        <f t="shared" si="5"/>
        <v>450000</v>
      </c>
      <c r="Q41" s="44">
        <f t="shared" si="6"/>
        <v>450000</v>
      </c>
      <c r="R41" s="5"/>
      <c r="S41" s="5"/>
      <c r="T41" s="5">
        <f>10000*45</f>
        <v>450000</v>
      </c>
      <c r="U41" s="5"/>
      <c r="V41" s="44">
        <v>0</v>
      </c>
      <c r="W41" s="44">
        <v>0</v>
      </c>
      <c r="X41" s="44">
        <v>0</v>
      </c>
      <c r="Y41" s="44">
        <v>450000</v>
      </c>
      <c r="Z41" s="44">
        <v>0</v>
      </c>
      <c r="AA41" s="44">
        <v>0</v>
      </c>
      <c r="AB41" s="44">
        <v>10000</v>
      </c>
      <c r="AC41" s="24">
        <v>0</v>
      </c>
      <c r="AD41" s="24"/>
    </row>
    <row r="42" spans="1:30" s="10" customFormat="1" ht="76.5" customHeight="1">
      <c r="A42" s="77"/>
      <c r="B42" s="23" t="s">
        <v>135</v>
      </c>
      <c r="C42" s="2" t="s">
        <v>182</v>
      </c>
      <c r="D42" s="14"/>
      <c r="E42" s="14"/>
      <c r="F42" s="14"/>
      <c r="G42" s="5"/>
      <c r="H42" s="14"/>
      <c r="I42" s="14" t="s">
        <v>4</v>
      </c>
      <c r="J42" s="14" t="s">
        <v>4</v>
      </c>
      <c r="K42" s="14"/>
      <c r="L42" s="5"/>
      <c r="M42" s="2" t="s">
        <v>83</v>
      </c>
      <c r="N42" s="5" t="s">
        <v>137</v>
      </c>
      <c r="O42" s="46">
        <v>0</v>
      </c>
      <c r="P42" s="44">
        <v>540000</v>
      </c>
      <c r="Q42" s="44">
        <v>540000</v>
      </c>
      <c r="R42" s="5"/>
      <c r="S42" s="5"/>
      <c r="T42" s="5"/>
      <c r="U42" s="5"/>
      <c r="V42" s="44">
        <v>0</v>
      </c>
      <c r="W42" s="44">
        <v>0</v>
      </c>
      <c r="X42" s="44">
        <v>0</v>
      </c>
      <c r="Y42" s="44">
        <v>540000</v>
      </c>
      <c r="Z42" s="44"/>
      <c r="AA42" s="44">
        <v>0</v>
      </c>
      <c r="AB42" s="44">
        <f>Q42/45</f>
        <v>12000</v>
      </c>
      <c r="AC42" s="24">
        <v>0</v>
      </c>
      <c r="AD42" s="24"/>
    </row>
    <row r="43" spans="1:30" s="10" customFormat="1" ht="60" customHeight="1">
      <c r="A43" s="78"/>
      <c r="B43" s="23" t="s">
        <v>136</v>
      </c>
      <c r="C43" s="2" t="s">
        <v>177</v>
      </c>
      <c r="D43" s="14"/>
      <c r="E43" s="14"/>
      <c r="F43" s="14"/>
      <c r="G43" s="5"/>
      <c r="H43" s="14"/>
      <c r="I43" s="14" t="s">
        <v>4</v>
      </c>
      <c r="J43" s="14" t="s">
        <v>4</v>
      </c>
      <c r="K43" s="14"/>
      <c r="L43" s="5"/>
      <c r="M43" s="2" t="s">
        <v>83</v>
      </c>
      <c r="N43" s="5" t="s">
        <v>90</v>
      </c>
      <c r="O43" s="46">
        <v>0</v>
      </c>
      <c r="P43" s="44">
        <v>360000</v>
      </c>
      <c r="Q43" s="44">
        <f>P43</f>
        <v>360000</v>
      </c>
      <c r="R43" s="5"/>
      <c r="S43" s="5"/>
      <c r="T43" s="5"/>
      <c r="U43" s="5"/>
      <c r="V43" s="44">
        <v>0</v>
      </c>
      <c r="W43" s="44">
        <v>0</v>
      </c>
      <c r="X43" s="44">
        <v>0</v>
      </c>
      <c r="Y43" s="44">
        <v>360000</v>
      </c>
      <c r="Z43" s="44">
        <v>0</v>
      </c>
      <c r="AA43" s="44">
        <v>0</v>
      </c>
      <c r="AB43" s="44">
        <f>Q43/45</f>
        <v>8000</v>
      </c>
      <c r="AC43" s="24">
        <v>0</v>
      </c>
      <c r="AD43" s="24"/>
    </row>
    <row r="44" spans="1:73" s="10" customFormat="1" ht="70.5" customHeight="1">
      <c r="A44" s="79" t="s">
        <v>183</v>
      </c>
      <c r="B44" s="23" t="s">
        <v>138</v>
      </c>
      <c r="C44" s="5" t="s">
        <v>85</v>
      </c>
      <c r="D44" s="14"/>
      <c r="E44" s="14"/>
      <c r="F44" s="14"/>
      <c r="G44" s="14" t="s">
        <v>4</v>
      </c>
      <c r="H44" s="14"/>
      <c r="I44" s="14"/>
      <c r="J44" s="14"/>
      <c r="K44" s="14"/>
      <c r="L44" s="5" t="s">
        <v>65</v>
      </c>
      <c r="M44" s="5" t="s">
        <v>86</v>
      </c>
      <c r="N44" s="5" t="s">
        <v>87</v>
      </c>
      <c r="O44" s="46">
        <v>0</v>
      </c>
      <c r="P44" s="44">
        <f t="shared" si="5"/>
        <v>900000</v>
      </c>
      <c r="Q44" s="44">
        <f>R44+S44+T44+U44+Z44</f>
        <v>900000</v>
      </c>
      <c r="R44" s="5"/>
      <c r="S44" s="5"/>
      <c r="T44" s="5">
        <f>20000*45</f>
        <v>900000</v>
      </c>
      <c r="U44" s="5"/>
      <c r="V44" s="44">
        <v>0</v>
      </c>
      <c r="W44" s="44">
        <v>0</v>
      </c>
      <c r="X44" s="44">
        <v>0</v>
      </c>
      <c r="Y44" s="44">
        <v>900000</v>
      </c>
      <c r="Z44" s="44">
        <v>0</v>
      </c>
      <c r="AA44" s="44">
        <v>0</v>
      </c>
      <c r="AB44" s="44">
        <v>20000</v>
      </c>
      <c r="AC44" s="24">
        <v>0</v>
      </c>
      <c r="AD44" s="24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30" s="10" customFormat="1" ht="81.75" customHeight="1">
      <c r="A45" s="80"/>
      <c r="B45" s="23" t="s">
        <v>139</v>
      </c>
      <c r="C45" s="15" t="s">
        <v>88</v>
      </c>
      <c r="D45" s="14"/>
      <c r="E45" s="14"/>
      <c r="F45" s="14"/>
      <c r="G45" s="14"/>
      <c r="H45" s="14" t="s">
        <v>4</v>
      </c>
      <c r="I45" s="14"/>
      <c r="J45" s="14" t="s">
        <v>176</v>
      </c>
      <c r="K45" s="14"/>
      <c r="L45" s="5"/>
      <c r="M45" s="5" t="s">
        <v>86</v>
      </c>
      <c r="N45" s="5" t="s">
        <v>87</v>
      </c>
      <c r="O45" s="46">
        <v>0</v>
      </c>
      <c r="P45" s="44">
        <f t="shared" si="5"/>
        <v>1035000</v>
      </c>
      <c r="Q45" s="44">
        <f>R45+S45+T45+U45+Z45</f>
        <v>1035000</v>
      </c>
      <c r="R45" s="5"/>
      <c r="S45" s="5"/>
      <c r="T45" s="5">
        <f>23000*45</f>
        <v>1035000</v>
      </c>
      <c r="U45" s="5"/>
      <c r="V45" s="44">
        <v>0</v>
      </c>
      <c r="W45" s="44">
        <v>0</v>
      </c>
      <c r="X45" s="44">
        <v>0</v>
      </c>
      <c r="Y45" s="44">
        <v>1035000</v>
      </c>
      <c r="Z45" s="44">
        <v>0</v>
      </c>
      <c r="AA45" s="44">
        <v>0</v>
      </c>
      <c r="AB45" s="44">
        <v>23000</v>
      </c>
      <c r="AC45" s="24">
        <v>0</v>
      </c>
      <c r="AD45" s="24"/>
    </row>
    <row r="46" spans="1:30" s="10" customFormat="1" ht="59.25" customHeight="1">
      <c r="A46" s="80"/>
      <c r="B46" s="23" t="s">
        <v>101</v>
      </c>
      <c r="C46" s="5" t="s">
        <v>89</v>
      </c>
      <c r="D46" s="14"/>
      <c r="E46" s="14"/>
      <c r="F46" s="14"/>
      <c r="G46" s="14"/>
      <c r="H46" s="14" t="s">
        <v>4</v>
      </c>
      <c r="I46" s="14"/>
      <c r="J46" s="14"/>
      <c r="K46" s="14"/>
      <c r="L46" s="5"/>
      <c r="M46" s="5" t="s">
        <v>86</v>
      </c>
      <c r="N46" s="5" t="s">
        <v>184</v>
      </c>
      <c r="O46" s="46">
        <v>0</v>
      </c>
      <c r="P46" s="44">
        <f t="shared" si="5"/>
        <v>1305000</v>
      </c>
      <c r="Q46" s="44">
        <f>R46+S46+T46+U46+Z46</f>
        <v>1305000</v>
      </c>
      <c r="R46" s="5"/>
      <c r="S46" s="5"/>
      <c r="T46" s="5">
        <f>29000*45</f>
        <v>1305000</v>
      </c>
      <c r="U46" s="5"/>
      <c r="V46" s="44">
        <v>0</v>
      </c>
      <c r="W46" s="44">
        <v>0</v>
      </c>
      <c r="X46" s="44">
        <v>0</v>
      </c>
      <c r="Y46" s="44">
        <v>1305000</v>
      </c>
      <c r="Z46" s="44">
        <v>0</v>
      </c>
      <c r="AA46" s="44">
        <v>0</v>
      </c>
      <c r="AB46" s="44">
        <v>29000</v>
      </c>
      <c r="AC46" s="24">
        <v>0</v>
      </c>
      <c r="AD46" s="24"/>
    </row>
    <row r="47" spans="1:30" s="10" customFormat="1" ht="37.5" customHeight="1">
      <c r="A47" s="80"/>
      <c r="B47" s="23" t="s">
        <v>102</v>
      </c>
      <c r="C47" s="29" t="s">
        <v>141</v>
      </c>
      <c r="D47" s="14"/>
      <c r="E47" s="14"/>
      <c r="F47" s="14"/>
      <c r="G47" s="14"/>
      <c r="H47" s="14"/>
      <c r="I47" s="14"/>
      <c r="J47" s="14" t="s">
        <v>4</v>
      </c>
      <c r="K47" s="14"/>
      <c r="L47" s="5"/>
      <c r="M47" s="5" t="s">
        <v>93</v>
      </c>
      <c r="N47" s="5" t="s">
        <v>158</v>
      </c>
      <c r="O47" s="46">
        <v>0</v>
      </c>
      <c r="P47" s="44">
        <f>Q47</f>
        <v>135000</v>
      </c>
      <c r="Q47" s="44">
        <f>AB47*45</f>
        <v>135000</v>
      </c>
      <c r="R47" s="5"/>
      <c r="S47" s="5"/>
      <c r="T47" s="5"/>
      <c r="U47" s="5"/>
      <c r="V47" s="44">
        <v>0</v>
      </c>
      <c r="W47" s="44">
        <v>0</v>
      </c>
      <c r="X47" s="44">
        <v>0</v>
      </c>
      <c r="Y47" s="44">
        <v>135000</v>
      </c>
      <c r="Z47" s="44"/>
      <c r="AA47" s="44">
        <v>0</v>
      </c>
      <c r="AB47" s="44">
        <v>3000</v>
      </c>
      <c r="AC47" s="24">
        <v>0</v>
      </c>
      <c r="AD47" s="24"/>
    </row>
    <row r="48" spans="1:30" s="10" customFormat="1" ht="47.25" customHeight="1">
      <c r="A48" s="80"/>
      <c r="B48" s="23" t="s">
        <v>103</v>
      </c>
      <c r="C48" s="29" t="s">
        <v>142</v>
      </c>
      <c r="D48" s="14"/>
      <c r="E48" s="14"/>
      <c r="F48" s="14"/>
      <c r="G48" s="14"/>
      <c r="H48" s="14"/>
      <c r="I48" s="14" t="s">
        <v>4</v>
      </c>
      <c r="J48" s="14" t="s">
        <v>4</v>
      </c>
      <c r="K48" s="14"/>
      <c r="L48" s="5"/>
      <c r="M48" s="5" t="s">
        <v>93</v>
      </c>
      <c r="N48" s="5" t="s">
        <v>137</v>
      </c>
      <c r="O48" s="46">
        <v>0</v>
      </c>
      <c r="P48" s="44">
        <f>Q48</f>
        <v>450000</v>
      </c>
      <c r="Q48" s="44">
        <v>450000</v>
      </c>
      <c r="R48" s="5"/>
      <c r="S48" s="5"/>
      <c r="T48" s="5"/>
      <c r="U48" s="5"/>
      <c r="V48" s="44">
        <v>0</v>
      </c>
      <c r="W48" s="44">
        <v>0</v>
      </c>
      <c r="X48" s="44">
        <v>0</v>
      </c>
      <c r="Y48" s="44">
        <v>450000</v>
      </c>
      <c r="Z48" s="44"/>
      <c r="AA48" s="44">
        <v>0</v>
      </c>
      <c r="AB48" s="44">
        <v>10000</v>
      </c>
      <c r="AC48" s="24">
        <v>0</v>
      </c>
      <c r="AD48" s="24"/>
    </row>
    <row r="49" spans="1:30" s="10" customFormat="1" ht="33.75" customHeight="1">
      <c r="A49" s="81"/>
      <c r="B49" s="23" t="s">
        <v>140</v>
      </c>
      <c r="C49" s="5" t="s">
        <v>143</v>
      </c>
      <c r="D49" s="14"/>
      <c r="E49" s="14"/>
      <c r="F49" s="14"/>
      <c r="G49" s="14"/>
      <c r="H49" s="14"/>
      <c r="I49" s="14" t="s">
        <v>4</v>
      </c>
      <c r="J49" s="14" t="s">
        <v>4</v>
      </c>
      <c r="K49" s="14"/>
      <c r="L49" s="5"/>
      <c r="M49" s="5" t="s">
        <v>93</v>
      </c>
      <c r="N49" s="5" t="s">
        <v>159</v>
      </c>
      <c r="O49" s="46">
        <v>0</v>
      </c>
      <c r="P49" s="44">
        <f>Q49</f>
        <v>360000</v>
      </c>
      <c r="Q49" s="44">
        <f>AB49*45</f>
        <v>360000</v>
      </c>
      <c r="R49" s="5"/>
      <c r="S49" s="5"/>
      <c r="T49" s="5"/>
      <c r="U49" s="5"/>
      <c r="V49" s="44">
        <v>0</v>
      </c>
      <c r="W49" s="44">
        <v>0</v>
      </c>
      <c r="X49" s="44">
        <v>0</v>
      </c>
      <c r="Y49" s="44">
        <v>360000</v>
      </c>
      <c r="Z49" s="44"/>
      <c r="AA49" s="44">
        <v>0</v>
      </c>
      <c r="AB49" s="44">
        <v>8000</v>
      </c>
      <c r="AC49" s="24">
        <v>0</v>
      </c>
      <c r="AD49" s="24"/>
    </row>
    <row r="50" spans="1:73" s="13" customFormat="1" ht="60" customHeight="1">
      <c r="A50" s="79" t="s">
        <v>185</v>
      </c>
      <c r="B50" s="23" t="s">
        <v>104</v>
      </c>
      <c r="C50" s="5" t="s">
        <v>91</v>
      </c>
      <c r="D50" s="14" t="s">
        <v>64</v>
      </c>
      <c r="E50" s="14"/>
      <c r="F50" s="14" t="s">
        <v>4</v>
      </c>
      <c r="G50" s="14" t="s">
        <v>4</v>
      </c>
      <c r="H50" s="14" t="s">
        <v>4</v>
      </c>
      <c r="I50" s="14"/>
      <c r="J50" s="14"/>
      <c r="K50" s="14"/>
      <c r="L50" s="5" t="s">
        <v>65</v>
      </c>
      <c r="M50" s="5" t="s">
        <v>93</v>
      </c>
      <c r="N50" s="5" t="s">
        <v>158</v>
      </c>
      <c r="O50" s="46">
        <v>225000</v>
      </c>
      <c r="P50" s="44">
        <v>0</v>
      </c>
      <c r="Q50" s="44">
        <f>R50+S50+T50+U50+Z50</f>
        <v>225000</v>
      </c>
      <c r="R50" s="5"/>
      <c r="S50" s="5"/>
      <c r="T50" s="5">
        <f>5000*45</f>
        <v>225000</v>
      </c>
      <c r="U50" s="5"/>
      <c r="V50" s="44">
        <v>0</v>
      </c>
      <c r="W50" s="44">
        <v>0</v>
      </c>
      <c r="X50" s="44">
        <v>0</v>
      </c>
      <c r="Y50" s="44">
        <v>225000</v>
      </c>
      <c r="Z50" s="44">
        <v>0</v>
      </c>
      <c r="AA50" s="44">
        <v>0</v>
      </c>
      <c r="AB50" s="44">
        <v>5000</v>
      </c>
      <c r="AC50" s="24">
        <v>0</v>
      </c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30" s="10" customFormat="1" ht="54.75" customHeight="1">
      <c r="A51" s="80"/>
      <c r="B51" s="23" t="s">
        <v>105</v>
      </c>
      <c r="C51" s="5" t="s">
        <v>92</v>
      </c>
      <c r="D51" s="14"/>
      <c r="E51" s="14"/>
      <c r="F51" s="14" t="s">
        <v>4</v>
      </c>
      <c r="G51" s="14" t="s">
        <v>4</v>
      </c>
      <c r="H51" s="14" t="s">
        <v>4</v>
      </c>
      <c r="I51" s="14"/>
      <c r="J51" s="14"/>
      <c r="K51" s="14"/>
      <c r="L51" s="5"/>
      <c r="M51" s="5" t="s">
        <v>93</v>
      </c>
      <c r="N51" s="5" t="s">
        <v>90</v>
      </c>
      <c r="O51" s="46">
        <v>675000</v>
      </c>
      <c r="P51" s="44">
        <v>0</v>
      </c>
      <c r="Q51" s="44">
        <f>R51+S51+T51+U51+Z51</f>
        <v>675000</v>
      </c>
      <c r="R51" s="5"/>
      <c r="S51" s="5"/>
      <c r="T51" s="5">
        <f>15000*45</f>
        <v>675000</v>
      </c>
      <c r="U51" s="5"/>
      <c r="V51" s="44">
        <v>0</v>
      </c>
      <c r="W51" s="44">
        <v>0</v>
      </c>
      <c r="X51" s="44">
        <v>0</v>
      </c>
      <c r="Y51" s="44">
        <v>675000</v>
      </c>
      <c r="Z51" s="44">
        <v>0</v>
      </c>
      <c r="AA51" s="44">
        <v>0</v>
      </c>
      <c r="AB51" s="44">
        <v>15000</v>
      </c>
      <c r="AC51" s="24">
        <v>0</v>
      </c>
      <c r="AD51" s="24"/>
    </row>
    <row r="52" spans="1:30" s="10" customFormat="1" ht="44.25" customHeight="1">
      <c r="A52" s="80"/>
      <c r="B52" s="23" t="s">
        <v>146</v>
      </c>
      <c r="C52" s="5" t="s">
        <v>144</v>
      </c>
      <c r="D52" s="14"/>
      <c r="E52" s="14"/>
      <c r="F52" s="14"/>
      <c r="G52" s="14"/>
      <c r="H52" s="14"/>
      <c r="I52" s="30" t="s">
        <v>4</v>
      </c>
      <c r="J52" s="14"/>
      <c r="K52" s="14"/>
      <c r="L52" s="5"/>
      <c r="M52" s="5" t="s">
        <v>93</v>
      </c>
      <c r="N52" s="5" t="s">
        <v>149</v>
      </c>
      <c r="O52" s="46">
        <v>0</v>
      </c>
      <c r="P52" s="44">
        <v>225000</v>
      </c>
      <c r="Q52" s="44">
        <f>P52</f>
        <v>225000</v>
      </c>
      <c r="R52" s="5"/>
      <c r="S52" s="5"/>
      <c r="T52" s="5"/>
      <c r="U52" s="5"/>
      <c r="V52" s="44">
        <v>0</v>
      </c>
      <c r="W52" s="44">
        <v>0</v>
      </c>
      <c r="X52" s="44">
        <v>0</v>
      </c>
      <c r="Y52" s="44">
        <v>225000</v>
      </c>
      <c r="Z52" s="44">
        <v>0</v>
      </c>
      <c r="AA52" s="44">
        <v>0</v>
      </c>
      <c r="AB52" s="44">
        <f>Q52/45</f>
        <v>5000</v>
      </c>
      <c r="AC52" s="24">
        <v>0</v>
      </c>
      <c r="AD52" s="24"/>
    </row>
    <row r="53" spans="1:30" s="10" customFormat="1" ht="46.5" customHeight="1">
      <c r="A53" s="80"/>
      <c r="B53" s="23" t="s">
        <v>147</v>
      </c>
      <c r="C53" s="5" t="s">
        <v>145</v>
      </c>
      <c r="D53" s="14"/>
      <c r="E53" s="14"/>
      <c r="F53" s="14"/>
      <c r="G53" s="14"/>
      <c r="H53" s="14"/>
      <c r="I53" s="14"/>
      <c r="J53" s="14" t="s">
        <v>4</v>
      </c>
      <c r="K53" s="14"/>
      <c r="L53" s="5"/>
      <c r="M53" s="5" t="s">
        <v>93</v>
      </c>
      <c r="N53" s="5" t="s">
        <v>90</v>
      </c>
      <c r="O53" s="46">
        <v>0</v>
      </c>
      <c r="P53" s="44">
        <v>450000</v>
      </c>
      <c r="Q53" s="44">
        <f>P53</f>
        <v>450000</v>
      </c>
      <c r="R53" s="5"/>
      <c r="S53" s="5"/>
      <c r="T53" s="5"/>
      <c r="U53" s="5"/>
      <c r="V53" s="44">
        <v>0</v>
      </c>
      <c r="W53" s="44">
        <v>0</v>
      </c>
      <c r="X53" s="44">
        <v>0</v>
      </c>
      <c r="Y53" s="44">
        <v>450000</v>
      </c>
      <c r="Z53" s="44">
        <v>0</v>
      </c>
      <c r="AA53" s="44">
        <v>0</v>
      </c>
      <c r="AB53" s="44">
        <f>Q53/45</f>
        <v>10000</v>
      </c>
      <c r="AC53" s="24">
        <v>0</v>
      </c>
      <c r="AD53" s="24"/>
    </row>
    <row r="54" spans="1:30" s="10" customFormat="1" ht="51" customHeight="1">
      <c r="A54" s="81"/>
      <c r="B54" s="23" t="s">
        <v>148</v>
      </c>
      <c r="C54" s="5" t="s">
        <v>186</v>
      </c>
      <c r="D54" s="14"/>
      <c r="E54" s="14"/>
      <c r="F54" s="14"/>
      <c r="G54" s="14"/>
      <c r="H54" s="14"/>
      <c r="I54" s="14"/>
      <c r="J54" s="14" t="s">
        <v>4</v>
      </c>
      <c r="K54" s="14"/>
      <c r="L54" s="5"/>
      <c r="M54" s="5" t="s">
        <v>93</v>
      </c>
      <c r="N54" s="5" t="s">
        <v>149</v>
      </c>
      <c r="O54" s="46">
        <v>0</v>
      </c>
      <c r="P54" s="44">
        <v>135000</v>
      </c>
      <c r="Q54" s="44">
        <f>P54</f>
        <v>135000</v>
      </c>
      <c r="R54" s="5"/>
      <c r="S54" s="5"/>
      <c r="T54" s="5"/>
      <c r="U54" s="5"/>
      <c r="V54" s="44">
        <v>0</v>
      </c>
      <c r="W54" s="44">
        <v>0</v>
      </c>
      <c r="X54" s="44">
        <v>0</v>
      </c>
      <c r="Y54" s="44">
        <f>Q54</f>
        <v>135000</v>
      </c>
      <c r="Z54" s="44">
        <v>0</v>
      </c>
      <c r="AA54" s="44">
        <v>0</v>
      </c>
      <c r="AB54" s="44">
        <f>P54/45</f>
        <v>3000</v>
      </c>
      <c r="AC54" s="24">
        <v>0</v>
      </c>
      <c r="AD54" s="24"/>
    </row>
    <row r="55" spans="1:73" s="10" customFormat="1" ht="32.25" customHeight="1">
      <c r="A55" s="3" t="s">
        <v>106</v>
      </c>
      <c r="B55" s="23" t="s">
        <v>107</v>
      </c>
      <c r="C55" s="2" t="s">
        <v>66</v>
      </c>
      <c r="D55" s="14" t="s">
        <v>64</v>
      </c>
      <c r="E55" s="14"/>
      <c r="F55" s="14" t="s">
        <v>4</v>
      </c>
      <c r="G55" s="14" t="s">
        <v>4</v>
      </c>
      <c r="H55" s="14"/>
      <c r="I55" s="14"/>
      <c r="J55" s="14"/>
      <c r="K55" s="14"/>
      <c r="L55" s="5" t="s">
        <v>67</v>
      </c>
      <c r="M55" s="5" t="s">
        <v>47</v>
      </c>
      <c r="N55" s="5" t="s">
        <v>84</v>
      </c>
      <c r="O55" s="46">
        <v>225000</v>
      </c>
      <c r="P55" s="44">
        <v>0</v>
      </c>
      <c r="Q55" s="44">
        <f>R55+S55+T55+U55+Z55</f>
        <v>225000</v>
      </c>
      <c r="R55" s="5"/>
      <c r="S55" s="5"/>
      <c r="T55" s="5">
        <f>5000*45</f>
        <v>225000</v>
      </c>
      <c r="U55" s="5"/>
      <c r="V55" s="44"/>
      <c r="W55" s="44"/>
      <c r="X55" s="44"/>
      <c r="Y55" s="44">
        <f>Q55</f>
        <v>225000</v>
      </c>
      <c r="Z55" s="44">
        <v>0</v>
      </c>
      <c r="AA55" s="44">
        <v>0</v>
      </c>
      <c r="AB55" s="44">
        <f>Q55/45</f>
        <v>5000</v>
      </c>
      <c r="AC55" s="24"/>
      <c r="AD55" s="2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30" s="19" customFormat="1" ht="15">
      <c r="A56" s="39"/>
      <c r="B56" s="40"/>
      <c r="C56" s="97" t="s">
        <v>14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43">
        <f>SUM(O32:O55)</f>
        <v>1125000</v>
      </c>
      <c r="P56" s="43">
        <f aca="true" t="shared" si="7" ref="P56:AC56">SUM(P32:P55)</f>
        <v>49863105</v>
      </c>
      <c r="Q56" s="43">
        <f t="shared" si="7"/>
        <v>50988105</v>
      </c>
      <c r="R56" s="43">
        <f t="shared" si="7"/>
        <v>0</v>
      </c>
      <c r="S56" s="43">
        <f t="shared" si="7"/>
        <v>43068105</v>
      </c>
      <c r="T56" s="43">
        <f t="shared" si="7"/>
        <v>5265000</v>
      </c>
      <c r="U56" s="43">
        <f t="shared" si="7"/>
        <v>0</v>
      </c>
      <c r="V56" s="43">
        <f t="shared" si="7"/>
        <v>0</v>
      </c>
      <c r="W56" s="43">
        <f t="shared" si="7"/>
        <v>0</v>
      </c>
      <c r="X56" s="43">
        <f t="shared" si="7"/>
        <v>43068105</v>
      </c>
      <c r="Y56" s="43">
        <f t="shared" si="7"/>
        <v>7920000</v>
      </c>
      <c r="Z56" s="43">
        <f t="shared" si="7"/>
        <v>0</v>
      </c>
      <c r="AA56" s="43">
        <f t="shared" si="7"/>
        <v>0</v>
      </c>
      <c r="AB56" s="43">
        <f t="shared" si="7"/>
        <v>176000</v>
      </c>
      <c r="AC56" s="43">
        <f t="shared" si="7"/>
        <v>0</v>
      </c>
      <c r="AD56" s="24"/>
    </row>
    <row r="57" spans="1:30" ht="68.25" customHeight="1">
      <c r="A57" s="83" t="s">
        <v>33</v>
      </c>
      <c r="B57" s="1">
        <v>1</v>
      </c>
      <c r="C57" s="2" t="s">
        <v>30</v>
      </c>
      <c r="D57" s="2"/>
      <c r="E57" s="2"/>
      <c r="F57" s="3" t="s">
        <v>4</v>
      </c>
      <c r="G57" s="3" t="s">
        <v>4</v>
      </c>
      <c r="H57" s="3" t="s">
        <v>4</v>
      </c>
      <c r="I57" s="3" t="s">
        <v>4</v>
      </c>
      <c r="J57" s="3" t="s">
        <v>4</v>
      </c>
      <c r="K57" s="3" t="s">
        <v>4</v>
      </c>
      <c r="L57" s="3" t="s">
        <v>4</v>
      </c>
      <c r="M57" s="2" t="s">
        <v>35</v>
      </c>
      <c r="N57" s="2" t="s">
        <v>13</v>
      </c>
      <c r="O57" s="24">
        <v>0</v>
      </c>
      <c r="P57" s="24">
        <f t="shared" si="5"/>
        <v>450000</v>
      </c>
      <c r="Q57" s="24">
        <f>R57+S57+T57+U57+Z57</f>
        <v>450000</v>
      </c>
      <c r="R57" s="2">
        <f>5000*45</f>
        <v>225000</v>
      </c>
      <c r="S57" s="2"/>
      <c r="T57" s="2">
        <f>5000*45</f>
        <v>225000</v>
      </c>
      <c r="U57" s="2"/>
      <c r="V57" s="24">
        <v>0</v>
      </c>
      <c r="W57" s="24">
        <v>225000</v>
      </c>
      <c r="X57" s="24">
        <v>0</v>
      </c>
      <c r="Y57" s="24">
        <v>225000</v>
      </c>
      <c r="Z57" s="24">
        <v>0</v>
      </c>
      <c r="AA57" s="44">
        <v>5000</v>
      </c>
      <c r="AB57" s="24">
        <v>0</v>
      </c>
      <c r="AC57" s="24">
        <v>0</v>
      </c>
      <c r="AD57" s="24"/>
    </row>
    <row r="58" spans="1:30" ht="27" customHeight="1">
      <c r="A58" s="84"/>
      <c r="B58" s="1">
        <v>2</v>
      </c>
      <c r="C58" s="2" t="s">
        <v>46</v>
      </c>
      <c r="D58" s="2"/>
      <c r="E58" s="2"/>
      <c r="F58" s="2"/>
      <c r="G58" s="3"/>
      <c r="H58" s="3" t="s">
        <v>4</v>
      </c>
      <c r="I58" s="3"/>
      <c r="J58" s="3" t="s">
        <v>4</v>
      </c>
      <c r="K58" s="3"/>
      <c r="L58" s="3"/>
      <c r="M58" s="2" t="s">
        <v>18</v>
      </c>
      <c r="N58" s="2"/>
      <c r="O58" s="24">
        <v>0</v>
      </c>
      <c r="P58" s="24">
        <f t="shared" si="5"/>
        <v>0</v>
      </c>
      <c r="Q58" s="24">
        <f>R58+S58+T58+U58+Z58</f>
        <v>0</v>
      </c>
      <c r="R58" s="24"/>
      <c r="S58" s="24"/>
      <c r="T58" s="24"/>
      <c r="U58" s="24"/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/>
    </row>
    <row r="59" spans="1:30" ht="40.5">
      <c r="A59" s="84"/>
      <c r="B59" s="1">
        <v>3</v>
      </c>
      <c r="C59" s="2" t="s">
        <v>31</v>
      </c>
      <c r="D59" s="86" t="s">
        <v>4</v>
      </c>
      <c r="E59" s="3"/>
      <c r="F59" s="3"/>
      <c r="G59" s="86"/>
      <c r="H59" s="86" t="s">
        <v>4</v>
      </c>
      <c r="I59" s="86" t="s">
        <v>4</v>
      </c>
      <c r="J59" s="86" t="s">
        <v>4</v>
      </c>
      <c r="K59" s="86" t="s">
        <v>4</v>
      </c>
      <c r="L59" s="86" t="s">
        <v>4</v>
      </c>
      <c r="M59" s="2" t="s">
        <v>47</v>
      </c>
      <c r="N59" s="2" t="s">
        <v>13</v>
      </c>
      <c r="O59" s="24">
        <v>0</v>
      </c>
      <c r="P59" s="24">
        <f t="shared" si="5"/>
        <v>225000</v>
      </c>
      <c r="Q59" s="24">
        <f>R59+S59+T59+U59+Z59</f>
        <v>225000</v>
      </c>
      <c r="R59" s="2"/>
      <c r="S59" s="2"/>
      <c r="T59" s="2">
        <f>5000*45</f>
        <v>225000</v>
      </c>
      <c r="U59" s="2"/>
      <c r="V59" s="24">
        <v>0</v>
      </c>
      <c r="W59" s="24">
        <v>0</v>
      </c>
      <c r="X59" s="24">
        <v>0</v>
      </c>
      <c r="Y59" s="24">
        <v>225000</v>
      </c>
      <c r="Z59" s="24">
        <v>0</v>
      </c>
      <c r="AA59" s="24">
        <v>5000</v>
      </c>
      <c r="AB59" s="24">
        <v>0</v>
      </c>
      <c r="AC59" s="24">
        <v>0</v>
      </c>
      <c r="AD59" s="24"/>
    </row>
    <row r="60" spans="1:33" ht="40.5">
      <c r="A60" s="84"/>
      <c r="B60" s="1">
        <v>4</v>
      </c>
      <c r="C60" s="2" t="s">
        <v>32</v>
      </c>
      <c r="D60" s="86"/>
      <c r="E60" s="3"/>
      <c r="F60" s="3"/>
      <c r="G60" s="96"/>
      <c r="H60" s="86"/>
      <c r="I60" s="96"/>
      <c r="J60" s="96"/>
      <c r="K60" s="96"/>
      <c r="L60" s="96"/>
      <c r="M60" s="2" t="s">
        <v>48</v>
      </c>
      <c r="N60" s="2" t="s">
        <v>13</v>
      </c>
      <c r="O60" s="24">
        <v>0</v>
      </c>
      <c r="P60" s="24">
        <f t="shared" si="5"/>
        <v>900000</v>
      </c>
      <c r="Q60" s="24">
        <f>R60+S60+T60+U60+Z60</f>
        <v>900000</v>
      </c>
      <c r="R60" s="2"/>
      <c r="S60" s="2"/>
      <c r="T60" s="2"/>
      <c r="U60" s="2">
        <f>20000*45</f>
        <v>900000</v>
      </c>
      <c r="V60" s="24">
        <v>0</v>
      </c>
      <c r="W60" s="24">
        <v>0</v>
      </c>
      <c r="X60" s="24">
        <v>0</v>
      </c>
      <c r="Y60" s="24">
        <v>900000</v>
      </c>
      <c r="Z60" s="24">
        <v>0</v>
      </c>
      <c r="AA60" s="24">
        <v>0</v>
      </c>
      <c r="AB60" s="24">
        <v>0</v>
      </c>
      <c r="AC60" s="24">
        <v>20000</v>
      </c>
      <c r="AG60" s="45"/>
    </row>
    <row r="61" spans="1:29" ht="44.25" customHeight="1">
      <c r="A61" s="84"/>
      <c r="B61" s="1">
        <v>5</v>
      </c>
      <c r="C61" s="2" t="s">
        <v>74</v>
      </c>
      <c r="D61" s="3"/>
      <c r="E61" s="3" t="s">
        <v>4</v>
      </c>
      <c r="F61" s="3" t="s">
        <v>4</v>
      </c>
      <c r="G61" s="3" t="s">
        <v>4</v>
      </c>
      <c r="H61" s="3" t="s">
        <v>4</v>
      </c>
      <c r="I61" s="3" t="s">
        <v>4</v>
      </c>
      <c r="J61" s="3" t="s">
        <v>4</v>
      </c>
      <c r="K61" s="2"/>
      <c r="L61" s="2"/>
      <c r="M61" s="2" t="s">
        <v>47</v>
      </c>
      <c r="N61" s="2" t="s">
        <v>13</v>
      </c>
      <c r="O61" s="24">
        <v>31500</v>
      </c>
      <c r="P61" s="24">
        <v>0</v>
      </c>
      <c r="Q61" s="24">
        <f>R61+S61+T61+U61+Z61</f>
        <v>31500</v>
      </c>
      <c r="R61" s="2"/>
      <c r="S61" s="2"/>
      <c r="T61" s="2">
        <f>700*45</f>
        <v>31500</v>
      </c>
      <c r="U61" s="2"/>
      <c r="V61" s="24">
        <v>0</v>
      </c>
      <c r="W61" s="24">
        <v>0</v>
      </c>
      <c r="X61" s="24">
        <v>0</v>
      </c>
      <c r="Y61" s="24">
        <v>31500</v>
      </c>
      <c r="Z61" s="24">
        <v>0</v>
      </c>
      <c r="AA61" s="24">
        <v>0</v>
      </c>
      <c r="AB61" s="24">
        <v>700</v>
      </c>
      <c r="AC61" s="24">
        <v>0</v>
      </c>
    </row>
    <row r="62" spans="1:29" ht="44.25" customHeight="1">
      <c r="A62" s="84"/>
      <c r="B62" s="1">
        <v>6</v>
      </c>
      <c r="C62" s="2" t="s">
        <v>207</v>
      </c>
      <c r="D62" s="3"/>
      <c r="E62" s="3"/>
      <c r="F62" s="3" t="s">
        <v>4</v>
      </c>
      <c r="G62" s="3" t="s">
        <v>4</v>
      </c>
      <c r="H62" s="3" t="s">
        <v>4</v>
      </c>
      <c r="I62" s="3" t="s">
        <v>4</v>
      </c>
      <c r="J62" s="3" t="s">
        <v>4</v>
      </c>
      <c r="K62" s="2"/>
      <c r="L62" s="2"/>
      <c r="M62" s="2" t="s">
        <v>47</v>
      </c>
      <c r="N62" s="2" t="s">
        <v>13</v>
      </c>
      <c r="O62" s="24"/>
      <c r="P62" s="24">
        <v>135000</v>
      </c>
      <c r="Q62" s="24">
        <v>135000</v>
      </c>
      <c r="R62" s="2"/>
      <c r="S62" s="2"/>
      <c r="T62" s="2"/>
      <c r="U62" s="2"/>
      <c r="V62" s="24">
        <f>-V61</f>
        <v>0</v>
      </c>
      <c r="W62" s="24">
        <v>0</v>
      </c>
      <c r="X62" s="24">
        <v>0</v>
      </c>
      <c r="Y62" s="24">
        <v>135000</v>
      </c>
      <c r="Z62" s="24"/>
      <c r="AA62" s="24"/>
      <c r="AB62" s="24">
        <v>3000</v>
      </c>
      <c r="AC62" s="24">
        <v>0</v>
      </c>
    </row>
    <row r="63" spans="1:30" ht="44.25" customHeight="1">
      <c r="A63" s="84"/>
      <c r="B63" s="1">
        <v>7</v>
      </c>
      <c r="C63" s="2" t="s">
        <v>150</v>
      </c>
      <c r="D63" s="3"/>
      <c r="E63" s="3"/>
      <c r="F63" s="3"/>
      <c r="G63" s="3"/>
      <c r="H63" s="28"/>
      <c r="I63" s="3" t="s">
        <v>4</v>
      </c>
      <c r="J63" s="3" t="s">
        <v>4</v>
      </c>
      <c r="K63" s="2"/>
      <c r="L63" s="2"/>
      <c r="M63" s="2" t="s">
        <v>47</v>
      </c>
      <c r="N63" s="2" t="s">
        <v>13</v>
      </c>
      <c r="O63" s="24">
        <v>0</v>
      </c>
      <c r="P63" s="24">
        <v>45000</v>
      </c>
      <c r="Q63" s="24">
        <v>45000</v>
      </c>
      <c r="R63" s="2"/>
      <c r="S63" s="2"/>
      <c r="T63" s="2"/>
      <c r="U63" s="2"/>
      <c r="V63" s="24">
        <v>0</v>
      </c>
      <c r="W63" s="24">
        <v>0</v>
      </c>
      <c r="X63" s="24">
        <v>0</v>
      </c>
      <c r="Y63" s="24">
        <v>45000</v>
      </c>
      <c r="Z63" s="24">
        <v>0</v>
      </c>
      <c r="AA63" s="24">
        <v>0</v>
      </c>
      <c r="AB63" s="24">
        <v>1000</v>
      </c>
      <c r="AC63" s="24">
        <v>0</v>
      </c>
      <c r="AD63" s="45"/>
    </row>
    <row r="64" spans="1:29" ht="28.5" customHeight="1">
      <c r="A64" s="84"/>
      <c r="B64" s="1">
        <v>8</v>
      </c>
      <c r="C64" s="2" t="s">
        <v>212</v>
      </c>
      <c r="D64" s="3"/>
      <c r="E64" s="3"/>
      <c r="F64" s="3" t="s">
        <v>4</v>
      </c>
      <c r="G64" s="31" t="s">
        <v>4</v>
      </c>
      <c r="H64" s="3" t="s">
        <v>4</v>
      </c>
      <c r="I64" s="3" t="s">
        <v>4</v>
      </c>
      <c r="J64" s="3" t="s">
        <v>4</v>
      </c>
      <c r="K64" s="2"/>
      <c r="L64" s="2"/>
      <c r="M64" s="2" t="s">
        <v>47</v>
      </c>
      <c r="N64" s="2" t="s">
        <v>13</v>
      </c>
      <c r="O64" s="24">
        <v>0</v>
      </c>
      <c r="P64" s="24">
        <f t="shared" si="5"/>
        <v>450000</v>
      </c>
      <c r="Q64" s="24">
        <f>10000*45</f>
        <v>450000</v>
      </c>
      <c r="R64" s="2"/>
      <c r="S64" s="2"/>
      <c r="T64" s="2"/>
      <c r="U64" s="2">
        <f>10000*45</f>
        <v>450000</v>
      </c>
      <c r="V64" s="24">
        <v>0</v>
      </c>
      <c r="W64" s="24">
        <v>0</v>
      </c>
      <c r="X64" s="24">
        <v>0</v>
      </c>
      <c r="Y64" s="24">
        <f>AB64*45</f>
        <v>450000</v>
      </c>
      <c r="Z64" s="24">
        <v>0</v>
      </c>
      <c r="AA64" s="24">
        <v>0</v>
      </c>
      <c r="AB64" s="24">
        <v>10000</v>
      </c>
      <c r="AC64" s="24">
        <v>0</v>
      </c>
    </row>
    <row r="65" spans="1:29" ht="31.5" customHeight="1">
      <c r="A65" s="85"/>
      <c r="B65" s="1">
        <v>9</v>
      </c>
      <c r="C65" s="22" t="s">
        <v>73</v>
      </c>
      <c r="D65" s="3"/>
      <c r="E65" s="3"/>
      <c r="F65" s="3"/>
      <c r="G65" s="31"/>
      <c r="H65" s="3"/>
      <c r="I65" s="3"/>
      <c r="J65" s="3"/>
      <c r="K65" s="2"/>
      <c r="L65" s="2"/>
      <c r="M65" s="2" t="s">
        <v>47</v>
      </c>
      <c r="N65" s="2"/>
      <c r="O65" s="24">
        <v>0</v>
      </c>
      <c r="P65" s="24">
        <f>Q65</f>
        <v>397440</v>
      </c>
      <c r="Q65" s="24">
        <v>397440</v>
      </c>
      <c r="R65" s="2"/>
      <c r="S65" s="2"/>
      <c r="T65" s="2">
        <f>6869*45</f>
        <v>309105</v>
      </c>
      <c r="U65" s="2"/>
      <c r="V65" s="24">
        <v>0</v>
      </c>
      <c r="W65" s="24">
        <v>0</v>
      </c>
      <c r="X65" s="24">
        <v>0</v>
      </c>
      <c r="Y65" s="24">
        <f>AB65*45</f>
        <v>397440</v>
      </c>
      <c r="Z65" s="24">
        <v>0</v>
      </c>
      <c r="AA65" s="24">
        <v>0</v>
      </c>
      <c r="AB65" s="24">
        <v>8832</v>
      </c>
      <c r="AC65" s="24">
        <v>0</v>
      </c>
    </row>
    <row r="66" spans="1:29" ht="27">
      <c r="A66" s="2" t="s">
        <v>49</v>
      </c>
      <c r="B66" s="1">
        <v>10</v>
      </c>
      <c r="C66" s="2" t="s">
        <v>50</v>
      </c>
      <c r="D66" s="3"/>
      <c r="E66" s="3" t="s">
        <v>4</v>
      </c>
      <c r="F66" s="3" t="s">
        <v>4</v>
      </c>
      <c r="G66" s="3" t="s">
        <v>4</v>
      </c>
      <c r="H66" s="3" t="s">
        <v>4</v>
      </c>
      <c r="I66" s="3" t="s">
        <v>4</v>
      </c>
      <c r="J66" s="3" t="s">
        <v>4</v>
      </c>
      <c r="K66" s="2"/>
      <c r="L66" s="2"/>
      <c r="M66" s="2" t="s">
        <v>18</v>
      </c>
      <c r="N66" s="2" t="s">
        <v>51</v>
      </c>
      <c r="O66" s="24">
        <v>0</v>
      </c>
      <c r="P66" s="24">
        <f t="shared" si="5"/>
        <v>517500</v>
      </c>
      <c r="Q66" s="24">
        <f>R66+S66+T66+U66+Z66</f>
        <v>517500</v>
      </c>
      <c r="R66" s="2">
        <f>11500*45</f>
        <v>517500</v>
      </c>
      <c r="S66" s="2"/>
      <c r="T66" s="2"/>
      <c r="U66" s="2"/>
      <c r="V66" s="24">
        <v>0</v>
      </c>
      <c r="W66" s="24">
        <v>517500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</row>
    <row r="67" spans="1:29" s="19" customFormat="1" ht="15">
      <c r="A67" s="39"/>
      <c r="B67" s="39"/>
      <c r="C67" s="97" t="s">
        <v>14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43">
        <f>SUM(O57:O66)</f>
        <v>31500</v>
      </c>
      <c r="P67" s="43">
        <f aca="true" t="shared" si="8" ref="P67:AC67">SUM(P57:P66)</f>
        <v>3119940</v>
      </c>
      <c r="Q67" s="43">
        <f t="shared" si="8"/>
        <v>3151440</v>
      </c>
      <c r="R67" s="43">
        <f t="shared" si="8"/>
        <v>742500</v>
      </c>
      <c r="S67" s="43">
        <f t="shared" si="8"/>
        <v>0</v>
      </c>
      <c r="T67" s="43">
        <f t="shared" si="8"/>
        <v>790605</v>
      </c>
      <c r="U67" s="43">
        <f t="shared" si="8"/>
        <v>1350000</v>
      </c>
      <c r="V67" s="43">
        <f t="shared" si="8"/>
        <v>0</v>
      </c>
      <c r="W67" s="43">
        <f t="shared" si="8"/>
        <v>742500</v>
      </c>
      <c r="X67" s="43">
        <f t="shared" si="8"/>
        <v>0</v>
      </c>
      <c r="Y67" s="43">
        <f t="shared" si="8"/>
        <v>2408940</v>
      </c>
      <c r="Z67" s="43">
        <f t="shared" si="8"/>
        <v>0</v>
      </c>
      <c r="AA67" s="43">
        <f t="shared" si="8"/>
        <v>10000</v>
      </c>
      <c r="AB67" s="43">
        <f t="shared" si="8"/>
        <v>23532</v>
      </c>
      <c r="AC67" s="43">
        <f t="shared" si="8"/>
        <v>20000</v>
      </c>
    </row>
    <row r="68" spans="1:29" s="26" customFormat="1" ht="20.25" customHeight="1">
      <c r="A68" s="64"/>
      <c r="B68" s="25"/>
      <c r="C68" s="100" t="s">
        <v>95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49">
        <f aca="true" t="shared" si="9" ref="O68:AC68">SUM(O67+O56+O31+O26+O14+O9)</f>
        <v>8867070.45</v>
      </c>
      <c r="P68" s="49">
        <f t="shared" si="9"/>
        <v>239006695</v>
      </c>
      <c r="Q68" s="49">
        <f t="shared" si="9"/>
        <v>247873765.45</v>
      </c>
      <c r="R68" s="49">
        <f t="shared" si="9"/>
        <v>134100900</v>
      </c>
      <c r="S68" s="49">
        <f t="shared" si="9"/>
        <v>53911035</v>
      </c>
      <c r="T68" s="49">
        <f t="shared" si="9"/>
        <v>18696523.950000003</v>
      </c>
      <c r="U68" s="49">
        <f t="shared" si="9"/>
        <v>14451466.5</v>
      </c>
      <c r="V68" s="49">
        <f t="shared" si="9"/>
        <v>86800000</v>
      </c>
      <c r="W68" s="49">
        <f t="shared" si="9"/>
        <v>70677000</v>
      </c>
      <c r="X68" s="49">
        <f t="shared" si="9"/>
        <v>53911035</v>
      </c>
      <c r="Y68" s="49">
        <f t="shared" si="9"/>
        <v>23384263.950000003</v>
      </c>
      <c r="Z68" s="49">
        <f t="shared" si="9"/>
        <v>13101466.5</v>
      </c>
      <c r="AA68" s="49">
        <f t="shared" si="9"/>
        <v>181101.31</v>
      </c>
      <c r="AB68" s="49">
        <f t="shared" si="9"/>
        <v>318549</v>
      </c>
      <c r="AC68" s="49">
        <f t="shared" si="9"/>
        <v>311143.7</v>
      </c>
    </row>
    <row r="69" spans="1:29" ht="15">
      <c r="A69" s="86" t="s">
        <v>198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</row>
    <row r="70" spans="1:30" ht="30.75" customHeight="1">
      <c r="A70" s="82" t="s">
        <v>156</v>
      </c>
      <c r="B70" s="71"/>
      <c r="C70" s="72"/>
      <c r="D70" s="37"/>
      <c r="E70" s="71" t="s">
        <v>116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2"/>
      <c r="Y70" s="50"/>
      <c r="Z70" s="50"/>
      <c r="AA70" s="50"/>
      <c r="AB70" s="50"/>
      <c r="AC70" s="50"/>
      <c r="AD70" s="45"/>
    </row>
    <row r="71" spans="1:29" ht="15" customHeight="1">
      <c r="A71" s="3" t="s">
        <v>117</v>
      </c>
      <c r="B71" s="3"/>
      <c r="C71" s="34" t="s">
        <v>179</v>
      </c>
      <c r="D71" s="3"/>
      <c r="E71" s="3"/>
      <c r="F71" s="3"/>
      <c r="G71" s="3"/>
      <c r="H71" s="3"/>
      <c r="I71" s="114" t="s">
        <v>206</v>
      </c>
      <c r="J71" s="115"/>
      <c r="K71" s="115"/>
      <c r="L71" s="115"/>
      <c r="M71" s="115"/>
      <c r="N71" s="115"/>
      <c r="O71" s="115"/>
      <c r="P71" s="115"/>
      <c r="Q71" s="116"/>
      <c r="R71" s="2"/>
      <c r="S71" s="2"/>
      <c r="T71" s="2"/>
      <c r="U71" s="2"/>
      <c r="V71" s="24"/>
      <c r="W71" s="24"/>
      <c r="X71" s="24"/>
      <c r="Y71" s="24"/>
      <c r="Z71" s="24"/>
      <c r="AA71" s="24"/>
      <c r="AB71" s="24"/>
      <c r="AC71" s="24"/>
    </row>
    <row r="72" spans="1:29" ht="15" customHeight="1">
      <c r="A72" s="112" t="s">
        <v>203</v>
      </c>
      <c r="B72" s="3"/>
      <c r="C72" s="3" t="s">
        <v>118</v>
      </c>
      <c r="D72" s="3"/>
      <c r="E72" s="3"/>
      <c r="F72" s="3"/>
      <c r="G72" s="3"/>
      <c r="H72" s="3"/>
      <c r="I72" s="87" t="s">
        <v>155</v>
      </c>
      <c r="J72" s="88"/>
      <c r="K72" s="88"/>
      <c r="L72" s="88"/>
      <c r="M72" s="88"/>
      <c r="N72" s="88"/>
      <c r="O72" s="88"/>
      <c r="P72" s="88"/>
      <c r="Q72" s="89"/>
      <c r="R72" s="2"/>
      <c r="S72" s="2"/>
      <c r="T72" s="2"/>
      <c r="U72" s="2"/>
      <c r="V72" s="24"/>
      <c r="W72" s="24"/>
      <c r="X72" s="24"/>
      <c r="Y72" s="24"/>
      <c r="Z72" s="51"/>
      <c r="AA72" s="51"/>
      <c r="AB72" s="24"/>
      <c r="AC72" s="24"/>
    </row>
    <row r="73" spans="1:29" ht="13.5" customHeight="1">
      <c r="A73" s="117"/>
      <c r="B73" s="3"/>
      <c r="C73" s="3" t="s">
        <v>202</v>
      </c>
      <c r="D73" s="3"/>
      <c r="E73" s="3"/>
      <c r="F73" s="3"/>
      <c r="G73" s="3"/>
      <c r="H73" s="3"/>
      <c r="I73" s="93"/>
      <c r="J73" s="94"/>
      <c r="K73" s="94"/>
      <c r="L73" s="94"/>
      <c r="M73" s="94"/>
      <c r="N73" s="94"/>
      <c r="O73" s="94"/>
      <c r="P73" s="94"/>
      <c r="Q73" s="95"/>
      <c r="R73" s="2"/>
      <c r="S73" s="2"/>
      <c r="T73" s="2"/>
      <c r="U73" s="2"/>
      <c r="V73" s="24"/>
      <c r="W73" s="24"/>
      <c r="X73" s="24"/>
      <c r="Y73" s="24"/>
      <c r="Z73" s="51"/>
      <c r="AA73" s="51"/>
      <c r="AB73" s="24"/>
      <c r="AC73" s="24"/>
    </row>
    <row r="74" spans="1:29" ht="15">
      <c r="A74" s="113"/>
      <c r="B74" s="3"/>
      <c r="C74" s="3" t="s">
        <v>205</v>
      </c>
      <c r="D74" s="3"/>
      <c r="E74" s="3"/>
      <c r="F74" s="3"/>
      <c r="G74" s="3"/>
      <c r="H74" s="3"/>
      <c r="I74" s="114" t="s">
        <v>119</v>
      </c>
      <c r="J74" s="115"/>
      <c r="K74" s="115"/>
      <c r="L74" s="115"/>
      <c r="M74" s="115"/>
      <c r="N74" s="115"/>
      <c r="O74" s="115"/>
      <c r="P74" s="115"/>
      <c r="Q74" s="116"/>
      <c r="R74" s="2"/>
      <c r="S74" s="2"/>
      <c r="T74" s="2"/>
      <c r="U74" s="2"/>
      <c r="V74" s="24"/>
      <c r="W74" s="24"/>
      <c r="X74" s="24"/>
      <c r="Y74" s="24"/>
      <c r="Z74" s="51"/>
      <c r="AA74" s="51"/>
      <c r="AB74" s="24"/>
      <c r="AC74" s="24"/>
    </row>
    <row r="75" spans="1:40" ht="13.5" customHeight="1">
      <c r="A75" s="3" t="s">
        <v>6</v>
      </c>
      <c r="B75" s="3"/>
      <c r="C75" s="3" t="s">
        <v>120</v>
      </c>
      <c r="D75" s="3"/>
      <c r="E75" s="3"/>
      <c r="F75" s="3"/>
      <c r="G75" s="3"/>
      <c r="H75" s="3"/>
      <c r="I75" s="122" t="s">
        <v>121</v>
      </c>
      <c r="J75" s="123"/>
      <c r="K75" s="123"/>
      <c r="L75" s="123"/>
      <c r="M75" s="123"/>
      <c r="N75" s="123"/>
      <c r="O75" s="123"/>
      <c r="P75" s="123"/>
      <c r="Q75" s="124"/>
      <c r="R75" s="2"/>
      <c r="S75" s="2"/>
      <c r="T75" s="2"/>
      <c r="U75" s="2"/>
      <c r="V75" s="24"/>
      <c r="W75" s="24"/>
      <c r="X75" s="24"/>
      <c r="Y75" s="24"/>
      <c r="Z75" s="24"/>
      <c r="AA75" s="24"/>
      <c r="AB75" s="24"/>
      <c r="AC75" s="24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3.5" customHeight="1">
      <c r="A76" s="3"/>
      <c r="B76" s="3"/>
      <c r="C76" s="58" t="s">
        <v>174</v>
      </c>
      <c r="D76" s="3"/>
      <c r="E76" s="3"/>
      <c r="F76" s="3"/>
      <c r="G76" s="3"/>
      <c r="H76" s="3"/>
      <c r="I76" s="35" t="s">
        <v>175</v>
      </c>
      <c r="J76" s="36"/>
      <c r="K76" s="36"/>
      <c r="L76" s="36"/>
      <c r="M76" s="36"/>
      <c r="N76" s="36"/>
      <c r="O76" s="36"/>
      <c r="P76" s="36"/>
      <c r="Q76" s="41"/>
      <c r="R76" s="2"/>
      <c r="S76" s="2"/>
      <c r="T76" s="2"/>
      <c r="U76" s="2"/>
      <c r="V76" s="24"/>
      <c r="W76" s="24"/>
      <c r="X76" s="24"/>
      <c r="Y76" s="24"/>
      <c r="Z76" s="24"/>
      <c r="AA76" s="24"/>
      <c r="AB76" s="24"/>
      <c r="AC76" s="24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29" ht="15">
      <c r="A77" s="3" t="s">
        <v>122</v>
      </c>
      <c r="B77" s="3"/>
      <c r="C77" s="3" t="s">
        <v>208</v>
      </c>
      <c r="D77" s="3"/>
      <c r="E77" s="3"/>
      <c r="F77" s="3"/>
      <c r="G77" s="3"/>
      <c r="H77" s="3"/>
      <c r="I77" s="87" t="s">
        <v>123</v>
      </c>
      <c r="J77" s="88"/>
      <c r="K77" s="88"/>
      <c r="L77" s="88"/>
      <c r="M77" s="88"/>
      <c r="N77" s="88"/>
      <c r="O77" s="88"/>
      <c r="P77" s="88"/>
      <c r="Q77" s="89"/>
      <c r="R77" s="2"/>
      <c r="S77" s="2"/>
      <c r="T77" s="2"/>
      <c r="U77" s="2"/>
      <c r="V77" s="24"/>
      <c r="W77" s="24"/>
      <c r="X77" s="24"/>
      <c r="Y77" s="24"/>
      <c r="Z77" s="51"/>
      <c r="AA77" s="51"/>
      <c r="AB77" s="24"/>
      <c r="AC77" s="24"/>
    </row>
    <row r="78" spans="1:29" s="63" customFormat="1" ht="15">
      <c r="A78" s="28" t="s">
        <v>134</v>
      </c>
      <c r="B78" s="3"/>
      <c r="C78" s="3" t="s">
        <v>204</v>
      </c>
      <c r="D78" s="3"/>
      <c r="E78" s="3"/>
      <c r="F78" s="3"/>
      <c r="G78" s="3"/>
      <c r="H78" s="3"/>
      <c r="I78" s="90"/>
      <c r="J78" s="91"/>
      <c r="K78" s="91"/>
      <c r="L78" s="91"/>
      <c r="M78" s="91"/>
      <c r="N78" s="91"/>
      <c r="O78" s="91"/>
      <c r="P78" s="91"/>
      <c r="Q78" s="92"/>
      <c r="R78" s="60"/>
      <c r="S78" s="60"/>
      <c r="T78" s="60"/>
      <c r="U78" s="60"/>
      <c r="V78" s="61"/>
      <c r="W78" s="61"/>
      <c r="X78" s="61"/>
      <c r="Y78" s="61"/>
      <c r="Z78" s="62"/>
      <c r="AA78" s="62"/>
      <c r="AB78" s="61"/>
      <c r="AC78" s="61"/>
    </row>
    <row r="79" spans="1:29" s="63" customFormat="1" ht="15">
      <c r="A79" s="28"/>
      <c r="B79" s="3"/>
      <c r="C79" s="3" t="s">
        <v>209</v>
      </c>
      <c r="D79" s="3"/>
      <c r="E79" s="3"/>
      <c r="F79" s="3"/>
      <c r="G79" s="3"/>
      <c r="H79" s="3"/>
      <c r="I79" s="93"/>
      <c r="J79" s="94"/>
      <c r="K79" s="94"/>
      <c r="L79" s="94"/>
      <c r="M79" s="94"/>
      <c r="N79" s="94"/>
      <c r="O79" s="94"/>
      <c r="P79" s="94"/>
      <c r="Q79" s="95"/>
      <c r="R79" s="60"/>
      <c r="S79" s="60"/>
      <c r="T79" s="60"/>
      <c r="U79" s="60"/>
      <c r="V79" s="61"/>
      <c r="W79" s="61"/>
      <c r="X79" s="61"/>
      <c r="Y79" s="61"/>
      <c r="Z79" s="62"/>
      <c r="AA79" s="62"/>
      <c r="AB79" s="61"/>
      <c r="AC79" s="61"/>
    </row>
    <row r="80" spans="1:29" ht="15">
      <c r="A80" s="112" t="s">
        <v>124</v>
      </c>
      <c r="B80" s="3"/>
      <c r="C80" s="3" t="s">
        <v>210</v>
      </c>
      <c r="D80" s="3"/>
      <c r="E80" s="3"/>
      <c r="F80" s="3"/>
      <c r="G80" s="3"/>
      <c r="H80" s="3"/>
      <c r="I80" s="114" t="s">
        <v>125</v>
      </c>
      <c r="J80" s="115"/>
      <c r="K80" s="115"/>
      <c r="L80" s="115"/>
      <c r="M80" s="115"/>
      <c r="N80" s="115"/>
      <c r="O80" s="115"/>
      <c r="P80" s="115"/>
      <c r="Q80" s="116"/>
      <c r="R80" s="2"/>
      <c r="S80" s="2"/>
      <c r="T80" s="2"/>
      <c r="U80" s="2"/>
      <c r="V80" s="24"/>
      <c r="W80" s="24"/>
      <c r="X80" s="24"/>
      <c r="Y80" s="24"/>
      <c r="Z80" s="51"/>
      <c r="AA80" s="51"/>
      <c r="AB80" s="24"/>
      <c r="AC80" s="24"/>
    </row>
    <row r="81" spans="1:29" ht="13.5" customHeight="1">
      <c r="A81" s="113"/>
      <c r="B81" s="3"/>
      <c r="C81" s="3" t="s">
        <v>126</v>
      </c>
      <c r="D81" s="3"/>
      <c r="E81" s="3"/>
      <c r="F81" s="3"/>
      <c r="G81" s="3"/>
      <c r="H81" s="3"/>
      <c r="I81" s="32" t="s">
        <v>127</v>
      </c>
      <c r="J81" s="33"/>
      <c r="K81" s="33"/>
      <c r="L81" s="33"/>
      <c r="M81" s="33"/>
      <c r="N81" s="33"/>
      <c r="O81" s="55"/>
      <c r="P81" s="55"/>
      <c r="Q81" s="55"/>
      <c r="R81" s="33"/>
      <c r="S81" s="33"/>
      <c r="T81" s="33"/>
      <c r="U81" s="33"/>
      <c r="V81" s="55"/>
      <c r="W81" s="55"/>
      <c r="X81" s="55"/>
      <c r="Y81" s="55"/>
      <c r="Z81" s="55"/>
      <c r="AA81" s="52"/>
      <c r="AB81" s="24"/>
      <c r="AC81" s="24"/>
    </row>
    <row r="82" spans="1:29" ht="15">
      <c r="A82" s="3" t="s">
        <v>151</v>
      </c>
      <c r="B82" s="3"/>
      <c r="C82" s="34" t="s">
        <v>157</v>
      </c>
      <c r="D82" s="3"/>
      <c r="E82" s="3"/>
      <c r="F82" s="3"/>
      <c r="G82" s="3"/>
      <c r="H82" s="3"/>
      <c r="I82" s="73" t="s">
        <v>154</v>
      </c>
      <c r="J82" s="74"/>
      <c r="K82" s="74"/>
      <c r="L82" s="74"/>
      <c r="M82" s="74"/>
      <c r="N82" s="74"/>
      <c r="O82" s="74"/>
      <c r="P82" s="74"/>
      <c r="Q82" s="75"/>
      <c r="R82" s="27"/>
      <c r="S82" s="27"/>
      <c r="T82" s="27"/>
      <c r="U82" s="27"/>
      <c r="V82" s="53"/>
      <c r="W82" s="53"/>
      <c r="X82" s="53"/>
      <c r="Y82" s="53"/>
      <c r="Z82" s="53"/>
      <c r="AA82" s="53"/>
      <c r="AB82" s="24"/>
      <c r="AC82" s="24"/>
    </row>
    <row r="83" spans="1:29" ht="15">
      <c r="A83" s="21" t="s">
        <v>153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4"/>
      <c r="P83" s="24"/>
      <c r="Q83" s="24"/>
      <c r="R83" s="2"/>
      <c r="S83" s="2"/>
      <c r="T83" s="2"/>
      <c r="U83" s="2"/>
      <c r="V83" s="24"/>
      <c r="W83" s="24"/>
      <c r="X83" s="24"/>
      <c r="Y83" s="24"/>
      <c r="Z83" s="24"/>
      <c r="AA83" s="24"/>
      <c r="AB83" s="24"/>
      <c r="AC83" s="24"/>
    </row>
    <row r="84" spans="1:29" ht="15">
      <c r="A84" s="3" t="s">
        <v>152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4"/>
      <c r="P84" s="24"/>
      <c r="Q84" s="24"/>
      <c r="R84" s="2"/>
      <c r="S84" s="2"/>
      <c r="T84" s="2"/>
      <c r="U84" s="2"/>
      <c r="V84" s="24"/>
      <c r="W84" s="24"/>
      <c r="X84" s="24"/>
      <c r="Y84" s="24"/>
      <c r="Z84" s="24"/>
      <c r="AA84" s="24"/>
      <c r="AB84" s="24"/>
      <c r="AC84" s="24"/>
    </row>
    <row r="85" spans="1:29" ht="90" customHeight="1">
      <c r="A85" s="96" t="s">
        <v>178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</row>
    <row r="86" ht="14.25">
      <c r="C86" s="70"/>
    </row>
    <row r="87" ht="15">
      <c r="C87" s="38"/>
    </row>
  </sheetData>
  <sheetProtection/>
  <mergeCells count="52">
    <mergeCell ref="I71:Q71"/>
    <mergeCell ref="I72:Q73"/>
    <mergeCell ref="A6:A8"/>
    <mergeCell ref="C67:N67"/>
    <mergeCell ref="K59:K60"/>
    <mergeCell ref="G59:G60"/>
    <mergeCell ref="A15:A25"/>
    <mergeCell ref="A32:A39"/>
    <mergeCell ref="A27:A30"/>
    <mergeCell ref="H59:H60"/>
    <mergeCell ref="A85:AC85"/>
    <mergeCell ref="E4:J4"/>
    <mergeCell ref="A10:A13"/>
    <mergeCell ref="I75:Q75"/>
    <mergeCell ref="A3:A5"/>
    <mergeCell ref="C68:N68"/>
    <mergeCell ref="B3:B5"/>
    <mergeCell ref="AA3:AC4"/>
    <mergeCell ref="C9:N9"/>
    <mergeCell ref="A1:AC1"/>
    <mergeCell ref="A2:AC2"/>
    <mergeCell ref="N3:N5"/>
    <mergeCell ref="A80:A81"/>
    <mergeCell ref="I80:Q80"/>
    <mergeCell ref="A72:A74"/>
    <mergeCell ref="I74:Q74"/>
    <mergeCell ref="J59:J60"/>
    <mergeCell ref="L59:L60"/>
    <mergeCell ref="C14:N14"/>
    <mergeCell ref="R3:Z4"/>
    <mergeCell ref="O3:Q4"/>
    <mergeCell ref="K4:L4"/>
    <mergeCell ref="C3:C5"/>
    <mergeCell ref="D3:J3"/>
    <mergeCell ref="M3:M4"/>
    <mergeCell ref="I59:I60"/>
    <mergeCell ref="C26:N26"/>
    <mergeCell ref="C31:N31"/>
    <mergeCell ref="D59:D60"/>
    <mergeCell ref="C56:N56"/>
    <mergeCell ref="E70:X70"/>
    <mergeCell ref="I82:Q82"/>
    <mergeCell ref="A40:A43"/>
    <mergeCell ref="A50:A54"/>
    <mergeCell ref="A70:C70"/>
    <mergeCell ref="A57:A65"/>
    <mergeCell ref="A44:A49"/>
    <mergeCell ref="A69:AC69"/>
    <mergeCell ref="I77:Q79"/>
  </mergeCells>
  <printOptions gridLines="1"/>
  <pageMargins left="0.25" right="0.25" top="0.33" bottom="0.16" header="0.3" footer="0.3"/>
  <pageSetup horizontalDpi="600" verticalDpi="600" orientation="landscape" paperSize="9" scale="5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 User</dc:creator>
  <cp:keywords/>
  <dc:description/>
  <cp:lastModifiedBy>kunzang.norbu</cp:lastModifiedBy>
  <cp:lastPrinted>2011-04-20T05:19:34Z</cp:lastPrinted>
  <dcterms:created xsi:type="dcterms:W3CDTF">2008-09-01T15:35:33Z</dcterms:created>
  <dcterms:modified xsi:type="dcterms:W3CDTF">2011-10-19T09:12:38Z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BTN|94baa618-1c8f-432e-b1cc-9ec80006ae4c</vt:lpwstr>
  </property>
  <property fmtid="{D5CDD505-2E9C-101B-9397-08002B2CF9AE}" pid="7" name="Operating Uni">
    <vt:lpwstr>1258;#BTN|94baa618-1c8f-432e-b1cc-9ec80006ae4c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1258;#BTN|94baa618-1c8f-432e-b1cc-9ec80006ae4c</vt:lpwstr>
  </property>
  <property fmtid="{D5CDD505-2E9C-101B-9397-08002B2CF9AE}" pid="15" name="Project Numb">
    <vt:lpwstr>00061369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00061369</vt:lpwstr>
  </property>
  <property fmtid="{D5CDD505-2E9C-101B-9397-08002B2CF9AE}" pid="21" name="_dlc_Doc">
    <vt:lpwstr>ATLASPDC-3-2222</vt:lpwstr>
  </property>
  <property fmtid="{D5CDD505-2E9C-101B-9397-08002B2CF9AE}" pid="22" name="_dlc_DocIdItemGu">
    <vt:lpwstr>b9775223-dbc2-4fb5-b972-b8bcd691fe6d</vt:lpwstr>
  </property>
  <property fmtid="{D5CDD505-2E9C-101B-9397-08002B2CF9AE}" pid="23" name="_dlc_DocIdU">
    <vt:lpwstr>https://info.undp.org/docs/pdc/_layouts/DocIdRedir.aspx?ID=ATLASPDC-3-2222, ATLASPDC-3-2222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